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C18-180 N513MM" sheetId="1" r:id="rId1"/>
  </sheets>
  <definedNames>
    <definedName name="_xlnm.Print_Area" localSheetId="0">'CC18-180 N513MM'!$A$1:$M$52</definedName>
  </definedNames>
  <calcPr fullCalcOnLoad="1"/>
</workbook>
</file>

<file path=xl/sharedStrings.xml><?xml version="1.0" encoding="utf-8"?>
<sst xmlns="http://schemas.openxmlformats.org/spreadsheetml/2006/main" count="26" uniqueCount="25">
  <si>
    <t>Item</t>
  </si>
  <si>
    <t xml:space="preserve">Volume </t>
  </si>
  <si>
    <t>Weight       (lb.)</t>
  </si>
  <si>
    <t>C. G. Arm (Inches Aft of Datum)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</si>
  <si>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</si>
  <si>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</si>
  <si>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</si>
  <si>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</si>
  <si>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</si>
  <si>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</si>
  <si>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Engine Start, Taxi, Runup</t>
  </si>
  <si>
    <t>Total Ramp Weight</t>
  </si>
  <si>
    <t>Total Loaded Airplane at Takeoff</t>
  </si>
  <si>
    <t>`</t>
  </si>
  <si>
    <t>WEIGHT AND BALANCE                                                                                                                                         CC18-180 (N513MM)</t>
  </si>
  <si>
    <t>Pilot</t>
  </si>
  <si>
    <t>Fuel (44 Gal. Usable) - units gallons</t>
  </si>
  <si>
    <t>Cargo under rear seat (5lbs max)</t>
  </si>
  <si>
    <t>Forward Cargo Compartment (180 lbs limit)</t>
  </si>
  <si>
    <t>Extended Cargo Compartment (20 lbs limit)</t>
  </si>
  <si>
    <t>Storage/Excessory Compartment (5 lbs limit)</t>
  </si>
  <si>
    <t>Rear Passenger</t>
  </si>
  <si>
    <t>Moment          (lb.-ins./1000)</t>
  </si>
  <si>
    <t>Licensed Empty Weight (03/17/20)</t>
  </si>
  <si>
    <t>Available Load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</si>
</sst>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 horizontal="right"/>
      <protection/>
    </xf>
    <xf numFmtId="173" fontId="0" fillId="0" borderId="16" xfId="0" applyNumberFormat="1" applyBorder="1" applyAlignment="1" applyProtection="1">
      <alignment horizontal="right"/>
      <protection/>
    </xf>
    <xf numFmtId="164" fontId="0" fillId="0" borderId="16" xfId="0" applyNumberFormat="1" applyBorder="1" applyAlignment="1" applyProtection="1">
      <alignment horizontal="right"/>
      <protection/>
    </xf>
    <xf numFmtId="164" fontId="0" fillId="0" borderId="17" xfId="0" applyNumberFormat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64" fontId="0" fillId="0" borderId="18" xfId="0" applyNumberFormat="1" applyBorder="1" applyAlignment="1" applyProtection="1">
      <alignment horizontal="right"/>
      <protection/>
    </xf>
    <xf numFmtId="2" fontId="0" fillId="0" borderId="19" xfId="0" applyNumberFormat="1" applyBorder="1" applyAlignment="1" applyProtection="1">
      <alignment horizontal="right"/>
      <protection/>
    </xf>
    <xf numFmtId="164" fontId="0" fillId="0" borderId="20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Continuous" vertical="center" wrapText="1"/>
      <protection locked="0"/>
    </xf>
    <xf numFmtId="0" fontId="0" fillId="0" borderId="15" xfId="0" applyBorder="1" applyAlignment="1" applyProtection="1">
      <alignment horizontal="centerContinuous" vertical="center" wrapText="1"/>
      <protection locked="0"/>
    </xf>
    <xf numFmtId="0" fontId="0" fillId="0" borderId="17" xfId="0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34" borderId="14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64" fontId="0" fillId="33" borderId="24" xfId="0" applyNumberFormat="1" applyFill="1" applyBorder="1" applyAlignment="1" applyProtection="1">
      <alignment horizontal="right"/>
      <protection locked="0"/>
    </xf>
    <xf numFmtId="164" fontId="0" fillId="33" borderId="25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 horizontal="right"/>
      <protection locked="0"/>
    </xf>
    <xf numFmtId="164" fontId="0" fillId="33" borderId="29" xfId="0" applyNumberFormat="1" applyFill="1" applyBorder="1" applyAlignment="1" applyProtection="1">
      <alignment horizontal="right"/>
      <protection locked="0"/>
    </xf>
    <xf numFmtId="164" fontId="0" fillId="33" borderId="18" xfId="0" applyNumberFormat="1" applyFill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31375"/>
          <c:y val="-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4"/>
          <c:w val="0.7525"/>
          <c:h val="0.895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'CC18-180 N513MM'!$H$3:$H$7</c:f>
              <c:numCache/>
            </c:numRef>
          </c:xVal>
          <c:yVal>
            <c:numRef>
              <c:f>'CC18-180 N513MM'!$G$3:$G$7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'CC18-180 N513MM'!$E$14:$E$15</c:f>
              <c:numCache/>
            </c:numRef>
          </c:xVal>
          <c:yVal>
            <c:numRef>
              <c:f>'CC18-180 N513MM'!$C$14:$C$15</c:f>
              <c:numCache/>
            </c:numRef>
          </c:yVal>
          <c:smooth val="0"/>
        </c:ser>
        <c:axId val="33400417"/>
        <c:axId val="32168298"/>
      </c:scatterChart>
      <c:valAx>
        <c:axId val="33400417"/>
        <c:scaling>
          <c:orientation val="minMax"/>
          <c:max val="19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Monent/1000 (Pound-Inches)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8298"/>
        <c:crossesAt val="0"/>
        <c:crossBetween val="midCat"/>
        <c:dispUnits/>
        <c:majorUnit val="10"/>
        <c:minorUnit val="1"/>
      </c:valAx>
      <c:valAx>
        <c:axId val="32168298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417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59"/>
          <c:w val="0.22875"/>
          <c:h val="0.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0385"/>
          <c:w val="0.66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'CC18-180 N513MM'!$K$3:$K$7</c:f>
              <c:numCache/>
            </c:numRef>
          </c:xVal>
          <c:yVal>
            <c:numRef>
              <c:f>'CC18-180 N513MM'!$J$3:$J$7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'CC18-180 N513MM'!$D$14:$D$15</c:f>
              <c:numCache/>
            </c:numRef>
          </c:xVal>
          <c:yVal>
            <c:numRef>
              <c:f>'CC18-180 N513MM'!$C$14:$C$15</c:f>
              <c:numCache/>
            </c:numRef>
          </c:yVal>
          <c:smooth val="0"/>
        </c:ser>
        <c:axId val="21079227"/>
        <c:axId val="55495316"/>
      </c:scatterChart>
      <c:valAx>
        <c:axId val="2107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316"/>
        <c:crossesAt val="1100"/>
        <c:crossBetween val="midCat"/>
        <c:dispUnits/>
        <c:majorUnit val="1"/>
      </c:valAx>
      <c:valAx>
        <c:axId val="55495316"/>
        <c:scaling>
          <c:orientation val="minMax"/>
          <c:max val="24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9227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34"/>
          <c:w val="0.1967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5</xdr:col>
      <xdr:colOff>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0" y="3867150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5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6619875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2.28125" style="17" customWidth="1"/>
    <col min="2" max="5" width="10.7109375" style="17" customWidth="1"/>
    <col min="6" max="16384" width="9.140625" style="17" customWidth="1"/>
  </cols>
  <sheetData>
    <row r="1" spans="1:11" ht="26.25">
      <c r="A1" s="14" t="s">
        <v>14</v>
      </c>
      <c r="B1" s="15"/>
      <c r="C1" s="15" t="s">
        <v>13</v>
      </c>
      <c r="D1" s="15"/>
      <c r="E1" s="16"/>
      <c r="G1" s="51" t="s">
        <v>7</v>
      </c>
      <c r="H1" s="52"/>
      <c r="J1" s="51" t="s">
        <v>8</v>
      </c>
      <c r="K1" s="52"/>
    </row>
    <row r="2" spans="1:11" ht="78.75">
      <c r="A2" s="18" t="s">
        <v>0</v>
      </c>
      <c r="B2" s="19" t="s">
        <v>1</v>
      </c>
      <c r="C2" s="19" t="s">
        <v>2</v>
      </c>
      <c r="D2" s="19" t="s">
        <v>3</v>
      </c>
      <c r="E2" s="20" t="s">
        <v>22</v>
      </c>
      <c r="G2" s="21" t="s">
        <v>5</v>
      </c>
      <c r="H2" s="22" t="s">
        <v>6</v>
      </c>
      <c r="J2" s="21" t="s">
        <v>5</v>
      </c>
      <c r="K2" s="22" t="s">
        <v>9</v>
      </c>
    </row>
    <row r="3" spans="1:11" ht="12.75">
      <c r="A3" s="23" t="s">
        <v>23</v>
      </c>
      <c r="B3" s="24"/>
      <c r="C3" s="25">
        <v>1322</v>
      </c>
      <c r="D3" s="5">
        <v>73.97</v>
      </c>
      <c r="E3" s="7">
        <f aca="true" t="shared" si="0" ref="E3:E11">C3*D3/1000</f>
        <v>97.78833999999999</v>
      </c>
      <c r="G3" s="1">
        <f>J3</f>
        <v>1300</v>
      </c>
      <c r="H3" s="2">
        <f>G3*K3/1000</f>
        <v>91.52000000000001</v>
      </c>
      <c r="J3" s="1">
        <v>1300</v>
      </c>
      <c r="K3" s="2">
        <v>70.4</v>
      </c>
    </row>
    <row r="4" spans="1:11" ht="12.75">
      <c r="A4" s="23" t="s">
        <v>15</v>
      </c>
      <c r="B4" s="24"/>
      <c r="C4" s="26">
        <v>250</v>
      </c>
      <c r="D4" s="5">
        <v>71</v>
      </c>
      <c r="E4" s="8">
        <f t="shared" si="0"/>
        <v>17.75</v>
      </c>
      <c r="G4" s="1">
        <f>J4</f>
        <v>1600</v>
      </c>
      <c r="H4" s="2">
        <f>G4*K4/1000</f>
        <v>112.64000000000001</v>
      </c>
      <c r="J4" s="1">
        <v>1600</v>
      </c>
      <c r="K4" s="2">
        <v>70.4</v>
      </c>
    </row>
    <row r="5" spans="1:11" ht="12.75">
      <c r="A5" s="23" t="s">
        <v>21</v>
      </c>
      <c r="B5" s="24"/>
      <c r="C5" s="26">
        <v>200</v>
      </c>
      <c r="D5" s="5">
        <v>97</v>
      </c>
      <c r="E5" s="8">
        <f t="shared" si="0"/>
        <v>19.4</v>
      </c>
      <c r="G5" s="1">
        <f>J5</f>
        <v>2300</v>
      </c>
      <c r="H5" s="2">
        <f>G5*K5/1000</f>
        <v>182.16</v>
      </c>
      <c r="J5" s="1">
        <v>2300</v>
      </c>
      <c r="K5" s="2">
        <v>79.2</v>
      </c>
    </row>
    <row r="6" spans="1:11" ht="12.75">
      <c r="A6" s="23" t="s">
        <v>17</v>
      </c>
      <c r="B6" s="24"/>
      <c r="C6" s="26">
        <v>5</v>
      </c>
      <c r="D6" s="5">
        <v>97</v>
      </c>
      <c r="E6" s="8">
        <f>C6*D6/1000</f>
        <v>0.485</v>
      </c>
      <c r="G6" s="1">
        <f>J6</f>
        <v>2300</v>
      </c>
      <c r="H6" s="2">
        <f>G6*K6/1000</f>
        <v>186.3</v>
      </c>
      <c r="J6" s="1">
        <v>2300</v>
      </c>
      <c r="K6" s="2">
        <v>81</v>
      </c>
    </row>
    <row r="7" spans="1:11" ht="13.5" thickBot="1">
      <c r="A7" s="23" t="s">
        <v>18</v>
      </c>
      <c r="B7" s="24"/>
      <c r="C7" s="26">
        <v>20</v>
      </c>
      <c r="D7" s="5">
        <v>117</v>
      </c>
      <c r="E7" s="8">
        <f t="shared" si="0"/>
        <v>2.34</v>
      </c>
      <c r="G7" s="3">
        <f>J7</f>
        <v>1300</v>
      </c>
      <c r="H7" s="4">
        <f>G7*K7/1000</f>
        <v>105.3</v>
      </c>
      <c r="J7" s="3">
        <v>1300</v>
      </c>
      <c r="K7" s="4">
        <v>81</v>
      </c>
    </row>
    <row r="8" spans="1:11" ht="12.75">
      <c r="A8" s="23" t="s">
        <v>19</v>
      </c>
      <c r="B8" s="24"/>
      <c r="C8" s="26">
        <v>20</v>
      </c>
      <c r="D8" s="5">
        <v>153</v>
      </c>
      <c r="E8" s="8">
        <f t="shared" si="0"/>
        <v>3.06</v>
      </c>
      <c r="G8" s="27"/>
      <c r="H8" s="28"/>
      <c r="J8" s="27"/>
      <c r="K8" s="28"/>
    </row>
    <row r="9" spans="1:11" ht="13.5" thickBot="1">
      <c r="A9" s="23" t="s">
        <v>20</v>
      </c>
      <c r="B9" s="24"/>
      <c r="C9" s="26">
        <v>0</v>
      </c>
      <c r="D9" s="5">
        <v>150</v>
      </c>
      <c r="E9" s="8">
        <f t="shared" si="0"/>
        <v>0</v>
      </c>
      <c r="G9" s="27"/>
      <c r="H9" s="28"/>
      <c r="J9" s="27"/>
      <c r="K9" s="28"/>
    </row>
    <row r="10" spans="1:5" ht="13.5" thickBot="1">
      <c r="A10" s="29" t="s">
        <v>16</v>
      </c>
      <c r="B10" s="30">
        <v>44</v>
      </c>
      <c r="C10" s="31">
        <f>6*B10</f>
        <v>264</v>
      </c>
      <c r="D10" s="6">
        <v>84</v>
      </c>
      <c r="E10" s="9">
        <f>C10*D10/1000</f>
        <v>22.176</v>
      </c>
    </row>
    <row r="11" spans="1:5" ht="12.75">
      <c r="A11" s="29" t="s">
        <v>10</v>
      </c>
      <c r="B11" s="30">
        <v>-1</v>
      </c>
      <c r="C11" s="31">
        <f>6*B11</f>
        <v>-6</v>
      </c>
      <c r="D11" s="6">
        <f>D10</f>
        <v>84</v>
      </c>
      <c r="E11" s="9">
        <f t="shared" si="0"/>
        <v>-0.504</v>
      </c>
    </row>
    <row r="12" spans="1:8" ht="13.5" thickBot="1">
      <c r="A12" s="32"/>
      <c r="B12" s="33"/>
      <c r="C12" s="34"/>
      <c r="D12" s="34"/>
      <c r="E12" s="35"/>
      <c r="H12" s="50" t="s">
        <v>24</v>
      </c>
    </row>
    <row r="13" spans="1:8" ht="13.5" thickBot="1">
      <c r="A13" s="36" t="s">
        <v>11</v>
      </c>
      <c r="B13" s="37"/>
      <c r="C13" s="38">
        <f>SUM(C3:C10)</f>
        <v>2081</v>
      </c>
      <c r="D13" s="39"/>
      <c r="E13" s="40"/>
      <c r="H13" s="41">
        <f>J6-C14</f>
        <v>225</v>
      </c>
    </row>
    <row r="14" spans="1:5" ht="13.5" thickBot="1">
      <c r="A14" s="36" t="s">
        <v>12</v>
      </c>
      <c r="B14" s="42"/>
      <c r="C14" s="38">
        <f>C15+C10+C11</f>
        <v>2075</v>
      </c>
      <c r="D14" s="10">
        <f>E14*1000/C14</f>
        <v>78.31100722891566</v>
      </c>
      <c r="E14" s="11">
        <f>SUM(E3:E11)</f>
        <v>162.49534</v>
      </c>
    </row>
    <row r="15" spans="1:5" ht="13.5" thickBot="1">
      <c r="A15" s="36" t="s">
        <v>4</v>
      </c>
      <c r="B15" s="44"/>
      <c r="C15" s="45">
        <f>SUM(C3:C9)</f>
        <v>1817</v>
      </c>
      <c r="D15" s="12">
        <f>1000*E15/C15</f>
        <v>77.50321408915795</v>
      </c>
      <c r="E15" s="13">
        <f>SUM(E3:E9)</f>
        <v>140.82334</v>
      </c>
    </row>
    <row r="16" spans="4:6" ht="12.75">
      <c r="D16" s="43"/>
      <c r="E16" s="46">
        <f>IF(D14&lt;D16,"NOT OK","")</f>
      </c>
      <c r="F16" s="47"/>
    </row>
    <row r="27" ht="12.75">
      <c r="H27" s="48"/>
    </row>
    <row r="28" ht="12.75">
      <c r="H28" s="49"/>
    </row>
  </sheetData>
  <sheetProtection sheet="1"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BEFA</cp:lastModifiedBy>
  <cp:lastPrinted>2016-02-18T15:39:37Z</cp:lastPrinted>
  <dcterms:created xsi:type="dcterms:W3CDTF">1998-12-17T17:30:16Z</dcterms:created>
  <dcterms:modified xsi:type="dcterms:W3CDTF">2021-11-13T20:45:19Z</dcterms:modified>
  <cp:category/>
  <cp:version/>
  <cp:contentType/>
  <cp:contentStatus/>
</cp:coreProperties>
</file>