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netorgft4415702-my.sharepoint.com/personal/asst_operations_befa_org/Documents/Desktop/"/>
    </mc:Choice>
  </mc:AlternateContent>
  <xr:revisionPtr revIDLastSave="0" documentId="14_{4E319053-F8E2-4451-8909-9C952F10A1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R20 (N662AJ)" sheetId="7" r:id="rId1"/>
  </sheets>
  <definedNames>
    <definedName name="_xlnm.Print_Area" localSheetId="0">'SR20 (N662AJ)'!$A$1:$M$50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7" l="1"/>
  <c r="C8" i="7"/>
  <c r="E8" i="7" s="1"/>
  <c r="C9" i="7"/>
  <c r="E9" i="7" s="1"/>
  <c r="C5" i="7"/>
  <c r="E5" i="7" s="1"/>
  <c r="E6" i="7"/>
  <c r="E3" i="7"/>
  <c r="E7" i="7"/>
  <c r="C10" i="7"/>
  <c r="G7" i="7"/>
  <c r="H7" i="7" s="1"/>
  <c r="G6" i="7"/>
  <c r="H6" i="7" s="1"/>
  <c r="G5" i="7"/>
  <c r="H5" i="7" s="1"/>
  <c r="G4" i="7"/>
  <c r="H4" i="7" s="1"/>
  <c r="G3" i="7"/>
  <c r="H3" i="7" s="1"/>
  <c r="D10" i="7"/>
  <c r="C14" i="7" l="1"/>
  <c r="C13" i="7" s="1"/>
  <c r="F12" i="7" s="1"/>
  <c r="E4" i="7"/>
  <c r="E14" i="7" s="1"/>
  <c r="E10" i="7"/>
  <c r="C12" i="7"/>
  <c r="H13" i="7" l="1"/>
  <c r="D14" i="7"/>
  <c r="E13" i="7"/>
  <c r="D13" i="7" s="1"/>
  <c r="J13" i="7" l="1"/>
  <c r="I13" i="7"/>
</calcChain>
</file>

<file path=xl/sharedStrings.xml><?xml version="1.0" encoding="utf-8"?>
<sst xmlns="http://schemas.openxmlformats.org/spreadsheetml/2006/main" count="27" uniqueCount="26">
  <si>
    <t>Item</t>
  </si>
  <si>
    <t xml:space="preserve">Volume </t>
  </si>
  <si>
    <t>Weight       (lb.)</t>
  </si>
  <si>
    <t>C. G. Arm (Inches Aft of Datum)</t>
  </si>
  <si>
    <t>Pilot and Front Passenger</t>
  </si>
  <si>
    <t>Total Without Fuel</t>
  </si>
  <si>
    <t>Weight (Pounds)</t>
  </si>
  <si>
    <t xml:space="preserve">Moment/1000 (Pound-Inches) </t>
  </si>
  <si>
    <t>Center of Gravity          Moment Table</t>
  </si>
  <si>
    <t>Center of Gravity          Limit Table</t>
  </si>
  <si>
    <t>Aircraft C.G Location (inches aft of datum)</t>
  </si>
  <si>
    <t>Rear Passengers</t>
  </si>
  <si>
    <t>Engine Start, Taxi, Runup</t>
  </si>
  <si>
    <t>Total Ramp Weight</t>
  </si>
  <si>
    <t>Total Loaded Airplane at Takeoff</t>
  </si>
  <si>
    <t>Baggage Area - rear (130 Max)</t>
  </si>
  <si>
    <t>Moment          (lb.-ins./1000)</t>
  </si>
  <si>
    <t>pounds</t>
  </si>
  <si>
    <t>WEIGHT AND BALANCE                                                                                                                                         SR22T (N927CS)</t>
  </si>
  <si>
    <t>Fuel Main Tank (92 G usable, 60 at tabs) - units gallons</t>
  </si>
  <si>
    <t>Basic Empty Weight 12-28-2020</t>
  </si>
  <si>
    <r>
      <t xml:space="preserve">Use of this Form: adjust values in </t>
    </r>
    <r>
      <rPr>
        <sz val="10"/>
        <color rgb="FFFF0000"/>
        <rFont val="Arial"/>
        <family val="2"/>
      </rPr>
      <t>RED</t>
    </r>
    <r>
      <rPr>
        <sz val="10"/>
        <rFont val="Arial"/>
      </rPr>
      <t xml:space="preserve"> for applicable values</t>
    </r>
  </si>
  <si>
    <t>Load Remaining at Takeoff</t>
  </si>
  <si>
    <t>TKS (8 G max, 5  G  min for FIKI, 9.2 lb/Gallon)</t>
  </si>
  <si>
    <t>Oxygen PSI (1800 max, 6.4 pounds)</t>
  </si>
  <si>
    <t>Forward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</si>
</sst>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</font>
    <font>
      <i/>
      <sz val="10"/>
      <name val="Arial"/>
      <family val="2"/>
    </font>
    <font>
      <sz val="8"/>
      <name val="Arial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0" fillId="0" borderId="7" xfId="0" applyBorder="1"/>
    <xf numFmtId="0" fontId="0" fillId="0" borderId="2" xfId="0" applyBorder="1"/>
    <xf numFmtId="164" fontId="0" fillId="0" borderId="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1" fillId="0" borderId="3" xfId="0" applyFont="1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/>
    <xf numFmtId="165" fontId="0" fillId="0" borderId="6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0" fillId="2" borderId="12" xfId="0" applyFill="1" applyBorder="1"/>
    <xf numFmtId="164" fontId="0" fillId="2" borderId="0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center"/>
    </xf>
    <xf numFmtId="0" fontId="0" fillId="2" borderId="15" xfId="0" applyFill="1" applyBorder="1"/>
    <xf numFmtId="164" fontId="0" fillId="0" borderId="1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14" xfId="0" applyNumberFormat="1" applyBorder="1" applyAlignment="1">
      <alignment horizontal="center"/>
    </xf>
    <xf numFmtId="1" fontId="0" fillId="0" borderId="0" xfId="0" applyNumberFormat="1"/>
    <xf numFmtId="164" fontId="3" fillId="0" borderId="1" xfId="0" applyNumberFormat="1" applyFont="1" applyBorder="1" applyAlignment="1">
      <alignment horizontal="right"/>
    </xf>
    <xf numFmtId="0" fontId="4" fillId="0" borderId="3" xfId="0" applyFont="1" applyBorder="1"/>
    <xf numFmtId="0" fontId="5" fillId="0" borderId="0" xfId="0" applyFont="1"/>
    <xf numFmtId="1" fontId="3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15" xfId="0" applyNumberFormat="1" applyBorder="1"/>
    <xf numFmtId="2" fontId="0" fillId="0" borderId="17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Garvity Limits</a:t>
            </a:r>
          </a:p>
        </c:rich>
      </c:tx>
      <c:layout>
        <c:manualLayout>
          <c:xMode val="edge"/>
          <c:yMode val="edge"/>
          <c:x val="0.37248322147651008"/>
          <c:y val="1.7543859649122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348993288590606"/>
          <c:y val="8.4210814867101386E-2"/>
          <c:w val="0.6023489932885906"/>
          <c:h val="0.69123043870079048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'SR20 (N662AJ)'!$K$3:$K$7</c:f>
              <c:numCache>
                <c:formatCode>0.0</c:formatCode>
                <c:ptCount val="5"/>
                <c:pt idx="0">
                  <c:v>137.80000000000001</c:v>
                </c:pt>
                <c:pt idx="1">
                  <c:v>139.1</c:v>
                </c:pt>
                <c:pt idx="2">
                  <c:v>143.19999999999999</c:v>
                </c:pt>
                <c:pt idx="3">
                  <c:v>148.1</c:v>
                </c:pt>
                <c:pt idx="4">
                  <c:v>148.1</c:v>
                </c:pt>
              </c:numCache>
            </c:numRef>
          </c:xVal>
          <c:yVal>
            <c:numRef>
              <c:f>'SR20 (N662AJ)'!$J$3:$J$7</c:f>
              <c:numCache>
                <c:formatCode>General</c:formatCode>
                <c:ptCount val="5"/>
                <c:pt idx="0">
                  <c:v>2100</c:v>
                </c:pt>
                <c:pt idx="1">
                  <c:v>2700</c:v>
                </c:pt>
                <c:pt idx="2">
                  <c:v>3600</c:v>
                </c:pt>
                <c:pt idx="3">
                  <c:v>3600</c:v>
                </c:pt>
                <c:pt idx="4">
                  <c:v>2100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87-4317-87CA-9C2E96BFBEB9}"/>
            </c:ext>
          </c:extLst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'SR20 (N662AJ)'!$D$13:$D$14</c:f>
              <c:numCache>
                <c:formatCode>0.00</c:formatCode>
                <c:ptCount val="2"/>
                <c:pt idx="0">
                  <c:v>143.40817676368337</c:v>
                </c:pt>
                <c:pt idx="1">
                  <c:v>141.02051905920518</c:v>
                </c:pt>
              </c:numCache>
            </c:numRef>
          </c:xVal>
          <c:yVal>
            <c:numRef>
              <c:f>'SR20 (N662AJ)'!$C$13:$C$14</c:f>
              <c:numCache>
                <c:formatCode>0.0</c:formatCode>
                <c:ptCount val="2"/>
                <c:pt idx="0">
                  <c:v>3541.2</c:v>
                </c:pt>
                <c:pt idx="1">
                  <c:v>2959.2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87-4317-87CA-9C2E96BFB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566784"/>
        <c:axId val="1"/>
      </c:scatterChart>
      <c:valAx>
        <c:axId val="450566784"/>
        <c:scaling>
          <c:orientation val="minMax"/>
          <c:max val="150"/>
          <c:min val="13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Aircraft C.G. Location (Inches Aft of Datum)</a:t>
                </a:r>
              </a:p>
            </c:rich>
          </c:tx>
          <c:layout>
            <c:manualLayout>
              <c:xMode val="edge"/>
              <c:yMode val="edge"/>
              <c:x val="0.3674496644295302"/>
              <c:y val="0.908774876824607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100"/>
        <c:crossBetween val="midCat"/>
        <c:majorUnit val="1"/>
      </c:valAx>
      <c:valAx>
        <c:axId val="1"/>
        <c:scaling>
          <c:orientation val="minMax"/>
          <c:max val="3600"/>
          <c:min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0.11073825503355705"/>
              <c:y val="0.16140424552194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566784"/>
        <c:crossesAt val="135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738587539122352"/>
          <c:y val="0.33333388469067032"/>
          <c:w val="0.19346411402934607"/>
          <c:h val="0.355014137353478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5</xdr:col>
      <xdr:colOff>0</xdr:colOff>
      <xdr:row>31</xdr:row>
      <xdr:rowOff>129540</xdr:rowOff>
    </xdr:to>
    <xdr:graphicFrame macro="">
      <xdr:nvGraphicFramePr>
        <xdr:cNvPr id="3078" name="Chart 2">
          <a:extLst>
            <a:ext uri="{FF2B5EF4-FFF2-40B4-BE49-F238E27FC236}">
              <a16:creationId xmlns:a16="http://schemas.microsoft.com/office/drawing/2014/main" id="{A7896B03-1596-4E06-BA87-91AF0AD44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zoomScale="70" zoomScaleNormal="70" workbookViewId="0">
      <selection activeCell="L20" sqref="L20"/>
    </sheetView>
  </sheetViews>
  <sheetFormatPr defaultRowHeight="12.75" x14ac:dyDescent="0.2"/>
  <cols>
    <col min="1" max="1" width="42.42578125" customWidth="1"/>
    <col min="2" max="5" width="10.5703125" customWidth="1"/>
    <col min="8" max="8" width="9.140625" style="32" customWidth="1"/>
  </cols>
  <sheetData>
    <row r="1" spans="1:11" ht="25.5" x14ac:dyDescent="0.2">
      <c r="A1" s="3" t="s">
        <v>18</v>
      </c>
      <c r="B1" s="4"/>
      <c r="C1" s="4"/>
      <c r="D1" s="4"/>
      <c r="E1" s="5"/>
      <c r="G1" s="50" t="s">
        <v>8</v>
      </c>
      <c r="H1" s="51"/>
      <c r="J1" s="50" t="s">
        <v>9</v>
      </c>
      <c r="K1" s="51"/>
    </row>
    <row r="2" spans="1:11" ht="76.5" x14ac:dyDescent="0.2">
      <c r="A2" s="6" t="s">
        <v>0</v>
      </c>
      <c r="B2" s="1" t="s">
        <v>1</v>
      </c>
      <c r="C2" s="1" t="s">
        <v>2</v>
      </c>
      <c r="D2" s="1" t="s">
        <v>3</v>
      </c>
      <c r="E2" s="7" t="s">
        <v>16</v>
      </c>
      <c r="G2" s="20" t="s">
        <v>6</v>
      </c>
      <c r="H2" s="30" t="s">
        <v>7</v>
      </c>
      <c r="J2" s="20" t="s">
        <v>6</v>
      </c>
      <c r="K2" s="21" t="s">
        <v>10</v>
      </c>
    </row>
    <row r="3" spans="1:11" x14ac:dyDescent="0.2">
      <c r="A3" s="8" t="s">
        <v>20</v>
      </c>
      <c r="B3" s="2"/>
      <c r="C3" s="12">
        <v>2480.1999999999998</v>
      </c>
      <c r="D3" s="12">
        <v>139.6</v>
      </c>
      <c r="E3" s="25">
        <f t="shared" ref="E3:E10" si="0">C3*D3/1000</f>
        <v>346.23591999999996</v>
      </c>
      <c r="G3" s="22">
        <f t="shared" ref="G3:G7" si="1">J3</f>
        <v>2100</v>
      </c>
      <c r="H3" s="31">
        <f t="shared" ref="H3:H7" si="2">G3*K3/1000</f>
        <v>289.38</v>
      </c>
      <c r="J3" s="22">
        <v>2100</v>
      </c>
      <c r="K3" s="26">
        <v>137.80000000000001</v>
      </c>
    </row>
    <row r="4" spans="1:11" x14ac:dyDescent="0.2">
      <c r="A4" s="8" t="s">
        <v>4</v>
      </c>
      <c r="B4" s="2"/>
      <c r="C4" s="42">
        <f>200+200</f>
        <v>400</v>
      </c>
      <c r="D4" s="12">
        <v>143.5</v>
      </c>
      <c r="E4" s="13">
        <f t="shared" si="0"/>
        <v>57.4</v>
      </c>
      <c r="G4" s="22">
        <f t="shared" si="1"/>
        <v>2700</v>
      </c>
      <c r="H4" s="31">
        <f t="shared" si="2"/>
        <v>375.57</v>
      </c>
      <c r="J4" s="22">
        <v>2700</v>
      </c>
      <c r="K4" s="26">
        <v>139.1</v>
      </c>
    </row>
    <row r="5" spans="1:11" x14ac:dyDescent="0.2">
      <c r="A5" s="8" t="s">
        <v>23</v>
      </c>
      <c r="B5" s="42">
        <v>5</v>
      </c>
      <c r="C5" s="12">
        <f>9.2*B5</f>
        <v>46</v>
      </c>
      <c r="D5" s="12">
        <v>148</v>
      </c>
      <c r="E5" s="13">
        <f t="shared" si="0"/>
        <v>6.8079999999999998</v>
      </c>
      <c r="G5" s="22">
        <f t="shared" si="1"/>
        <v>3600</v>
      </c>
      <c r="H5" s="31">
        <f t="shared" si="2"/>
        <v>515.52</v>
      </c>
      <c r="J5" s="22">
        <v>3600</v>
      </c>
      <c r="K5" s="26">
        <v>143.19999999999999</v>
      </c>
    </row>
    <row r="6" spans="1:11" x14ac:dyDescent="0.2">
      <c r="A6" s="8" t="s">
        <v>11</v>
      </c>
      <c r="B6" s="2"/>
      <c r="C6" s="42">
        <v>0</v>
      </c>
      <c r="D6" s="12">
        <v>180</v>
      </c>
      <c r="E6" s="13">
        <f t="shared" si="0"/>
        <v>0</v>
      </c>
      <c r="G6" s="22">
        <f t="shared" si="1"/>
        <v>3600</v>
      </c>
      <c r="H6" s="31">
        <f t="shared" si="2"/>
        <v>533.16</v>
      </c>
      <c r="J6" s="22">
        <v>3600</v>
      </c>
      <c r="K6" s="26">
        <v>148.1</v>
      </c>
    </row>
    <row r="7" spans="1:11" ht="13.5" thickBot="1" x14ac:dyDescent="0.25">
      <c r="A7" s="8" t="s">
        <v>15</v>
      </c>
      <c r="B7" s="2"/>
      <c r="C7" s="42">
        <v>33</v>
      </c>
      <c r="D7" s="12">
        <v>208</v>
      </c>
      <c r="E7" s="13">
        <f t="shared" si="0"/>
        <v>6.8639999999999999</v>
      </c>
      <c r="G7" s="23">
        <f t="shared" si="1"/>
        <v>2100</v>
      </c>
      <c r="H7" s="34">
        <f t="shared" si="2"/>
        <v>311.01</v>
      </c>
      <c r="J7" s="23">
        <v>2100</v>
      </c>
      <c r="K7" s="40">
        <v>148.1</v>
      </c>
    </row>
    <row r="8" spans="1:11" ht="13.5" thickBot="1" x14ac:dyDescent="0.25">
      <c r="A8" s="8" t="s">
        <v>24</v>
      </c>
      <c r="B8" s="45">
        <v>400</v>
      </c>
      <c r="C8" s="42">
        <f>6.4*(B8/1800)</f>
        <v>1.4222222222222223</v>
      </c>
      <c r="D8" s="12">
        <v>265.3</v>
      </c>
      <c r="E8" s="13">
        <f t="shared" ref="E8" si="3">C8*D8/1000</f>
        <v>0.37731555555555557</v>
      </c>
    </row>
    <row r="9" spans="1:11" ht="13.5" thickBot="1" x14ac:dyDescent="0.25">
      <c r="A9" s="11" t="s">
        <v>19</v>
      </c>
      <c r="B9" s="43">
        <v>92</v>
      </c>
      <c r="C9" s="17">
        <f>6*B9</f>
        <v>552</v>
      </c>
      <c r="D9" s="17">
        <v>154.9</v>
      </c>
      <c r="E9" s="18">
        <f>C9*D9/1000</f>
        <v>85.504800000000003</v>
      </c>
      <c r="G9" s="44" t="s">
        <v>21</v>
      </c>
    </row>
    <row r="10" spans="1:11" x14ac:dyDescent="0.2">
      <c r="A10" s="11" t="s">
        <v>12</v>
      </c>
      <c r="B10" s="19">
        <v>5</v>
      </c>
      <c r="C10" s="17">
        <f>6*B10</f>
        <v>30</v>
      </c>
      <c r="D10" s="17">
        <f>D9</f>
        <v>154.9</v>
      </c>
      <c r="E10" s="18">
        <f t="shared" si="0"/>
        <v>4.6470000000000002</v>
      </c>
      <c r="F10" s="24"/>
    </row>
    <row r="11" spans="1:11" ht="13.5" thickBot="1" x14ac:dyDescent="0.25">
      <c r="A11" s="9"/>
      <c r="B11" s="2"/>
      <c r="C11" s="14"/>
      <c r="D11" s="14"/>
      <c r="E11" s="15"/>
      <c r="F11" s="44" t="s">
        <v>22</v>
      </c>
    </row>
    <row r="12" spans="1:11" ht="13.5" thickBot="1" x14ac:dyDescent="0.25">
      <c r="A12" s="10" t="s">
        <v>13</v>
      </c>
      <c r="B12" s="27"/>
      <c r="C12" s="36">
        <f>SUM(C3:C9)</f>
        <v>3512.6222222222223</v>
      </c>
      <c r="D12" s="28"/>
      <c r="E12" s="29"/>
      <c r="F12" s="24">
        <f>3600-C13</f>
        <v>58.800000000000182</v>
      </c>
      <c r="G12" t="s">
        <v>17</v>
      </c>
    </row>
    <row r="13" spans="1:11" ht="13.5" thickBot="1" x14ac:dyDescent="0.25">
      <c r="A13" s="10" t="s">
        <v>14</v>
      </c>
      <c r="B13" s="35"/>
      <c r="C13" s="37">
        <f>C14+C9+C10</f>
        <v>3541.2</v>
      </c>
      <c r="D13" s="48">
        <f>E13*1000/C13</f>
        <v>143.40817676368337</v>
      </c>
      <c r="E13" s="16">
        <f>SUM(E3:E10)</f>
        <v>507.83703555555547</v>
      </c>
      <c r="F13" s="44" t="s">
        <v>25</v>
      </c>
      <c r="H13" s="32">
        <f>(C13-J4)/(J5-J4)*(K5-K4)+K4</f>
        <v>142.93213333333333</v>
      </c>
      <c r="I13" s="46" t="str">
        <f>IF($D13&gt;$H13,"OK","")</f>
        <v>OK</v>
      </c>
      <c r="J13" s="47" t="str">
        <f>IF($D13&gt;$H13,"","NOT OK")</f>
        <v/>
      </c>
    </row>
    <row r="14" spans="1:11" ht="13.5" thickBot="1" x14ac:dyDescent="0.25">
      <c r="A14" s="10" t="s">
        <v>5</v>
      </c>
      <c r="B14" s="35"/>
      <c r="C14" s="38">
        <f>SUM(C3:C7)</f>
        <v>2959.2</v>
      </c>
      <c r="D14" s="49">
        <f>E14*1000/C14</f>
        <v>141.02051905920518</v>
      </c>
      <c r="E14" s="39">
        <f>SUM(E3:E7)</f>
        <v>417.30791999999991</v>
      </c>
      <c r="F14" s="24"/>
    </row>
    <row r="15" spans="1:11" x14ac:dyDescent="0.2">
      <c r="F15" s="24"/>
    </row>
    <row r="16" spans="1:11" x14ac:dyDescent="0.2">
      <c r="F16" s="24"/>
    </row>
    <row r="17" spans="6:8" x14ac:dyDescent="0.2">
      <c r="F17" s="32"/>
    </row>
    <row r="18" spans="6:8" x14ac:dyDescent="0.2">
      <c r="F18" s="41"/>
    </row>
    <row r="25" spans="6:8" x14ac:dyDescent="0.2">
      <c r="H25" s="33"/>
    </row>
  </sheetData>
  <mergeCells count="2">
    <mergeCell ref="G1:H1"/>
    <mergeCell ref="J1:K1"/>
  </mergeCells>
  <phoneticPr fontId="2" type="noConversion"/>
  <pageMargins left="0.75" right="0.75" top="1" bottom="1" header="0.5" footer="0.5"/>
  <pageSetup scale="6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SR20 (N662AJ)</vt:lpstr>
      <vt:lpstr>'SR20 (N662AJ)'!Print_Area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creator>Mike Dubbury</dc:creator>
  <cp:lastModifiedBy>Jordan Ming</cp:lastModifiedBy>
  <cp:lastPrinted>2004-06-24T03:18:03Z</cp:lastPrinted>
  <dcterms:created xsi:type="dcterms:W3CDTF">1998-12-17T17:30:16Z</dcterms:created>
  <dcterms:modified xsi:type="dcterms:W3CDTF">2022-04-14T15:59:12Z</dcterms:modified>
</cp:coreProperties>
</file>