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cott\Dropbox\Aviation\BEFA\Operations\W&amp;B\"/>
    </mc:Choice>
  </mc:AlternateContent>
  <xr:revisionPtr revIDLastSave="0" documentId="13_ncr:1_{298FB40C-62FB-4C9A-B13A-D55EE32276B4}" xr6:coauthVersionLast="47" xr6:coauthVersionMax="47" xr10:uidLastSave="{00000000-0000-0000-0000-000000000000}"/>
  <bookViews>
    <workbookView xWindow="-26325" yWindow="195" windowWidth="25500" windowHeight="15465" xr2:uid="{00000000-000D-0000-FFFF-FFFF00000000}"/>
  </bookViews>
  <sheets>
    <sheet name="C172S (N97PD)" sheetId="7" r:id="rId1"/>
  </sheets>
  <definedNames>
    <definedName name="_xlnm.Print_Area" localSheetId="0">'C172S (N97PD)'!$A$1:$M$50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7" l="1"/>
  <c r="C13" i="7"/>
  <c r="C12" i="7" s="1"/>
  <c r="E6" i="7"/>
  <c r="G7" i="7"/>
  <c r="H7" i="7"/>
  <c r="G6" i="7"/>
  <c r="H6" i="7"/>
  <c r="G5" i="7"/>
  <c r="G4" i="7"/>
  <c r="G3" i="7"/>
  <c r="H3" i="7"/>
  <c r="C8" i="7"/>
  <c r="E8" i="7"/>
  <c r="D9" i="7"/>
  <c r="E9" i="7"/>
  <c r="C9" i="7"/>
  <c r="H5" i="7"/>
  <c r="H4" i="7"/>
  <c r="E4" i="7"/>
  <c r="E13" i="7" s="1"/>
  <c r="E7" i="7"/>
  <c r="E5" i="7"/>
  <c r="C11" i="7"/>
  <c r="E12" i="7" l="1"/>
  <c r="D12" i="7" s="1"/>
  <c r="D13" i="7"/>
  <c r="G12" i="7" l="1"/>
</calcChain>
</file>

<file path=xl/sharedStrings.xml><?xml version="1.0" encoding="utf-8"?>
<sst xmlns="http://schemas.openxmlformats.org/spreadsheetml/2006/main" count="23" uniqueCount="21">
  <si>
    <t>Item</t>
  </si>
  <si>
    <t xml:space="preserve">Volume </t>
  </si>
  <si>
    <t>Weight       (lb.)</t>
  </si>
  <si>
    <t>C. G. Arm (Inches Aft of Datum)</t>
  </si>
  <si>
    <t>Pilot and Front Passenger</t>
  </si>
  <si>
    <t>Total Without Fuel</t>
  </si>
  <si>
    <t>Weight (Pounds)</t>
  </si>
  <si>
    <t>Center of Gravity          Moment Table</t>
  </si>
  <si>
    <t>Center of Gravity          Limit Table</t>
  </si>
  <si>
    <t>Aircraft C.G Location (inches aft of datum)</t>
  </si>
  <si>
    <t>Rear Passengers</t>
  </si>
  <si>
    <t>Licensed Empty Weight</t>
  </si>
  <si>
    <t>Engine Start, Taxi, Runup</t>
  </si>
  <si>
    <t>Total Ramp Weight</t>
  </si>
  <si>
    <t>Total Loaded Airplane at Takeoff</t>
  </si>
  <si>
    <t>Fuel Main Tank (53 Gal. Usable) - units gallons</t>
  </si>
  <si>
    <t>Baggage Area 1</t>
  </si>
  <si>
    <t>Baggage Area 2</t>
  </si>
  <si>
    <t>Load remaining at Takeoff</t>
  </si>
  <si>
    <t>WEIGHT AND BALANCE                                                                                                                                         C172S (N97PD)</t>
  </si>
  <si>
    <t>Moment (kip-in)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</si>
</sst>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i/>
      <sz val="10"/>
      <name val="Arial"/>
      <family val="2"/>
    </font>
    <font>
      <sz val="8"/>
      <name val="Arial"/>
    </font>
    <font>
      <i/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64" fontId="0" fillId="0" borderId="11" xfId="0" applyNumberFormat="1" applyBorder="1" applyAlignment="1">
      <alignment horizontal="center"/>
    </xf>
    <xf numFmtId="9" fontId="0" fillId="0" borderId="0" xfId="0" applyNumberFormat="1" applyAlignment="1">
      <alignment horizontal="left"/>
    </xf>
    <xf numFmtId="164" fontId="0" fillId="0" borderId="13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4" fontId="0" fillId="2" borderId="15" xfId="0" applyNumberFormat="1" applyFill="1" applyBorder="1" applyAlignment="1">
      <alignment horizontal="right"/>
    </xf>
    <xf numFmtId="14" fontId="0" fillId="2" borderId="1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14" fontId="0" fillId="0" borderId="3" xfId="0" applyNumberFormat="1" applyBorder="1" applyAlignment="1">
      <alignment horizontal="centerContinuous" vertical="center" wrapText="1"/>
    </xf>
    <xf numFmtId="164" fontId="4" fillId="3" borderId="1" xfId="0" applyNumberFormat="1" applyFont="1" applyFill="1" applyBorder="1" applyAlignment="1">
      <alignment horizontal="right"/>
    </xf>
    <xf numFmtId="0" fontId="3" fillId="3" borderId="17" xfId="0" applyFont="1" applyFill="1" applyBorder="1"/>
    <xf numFmtId="0" fontId="1" fillId="3" borderId="17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0.29026845637583892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'C172S (N97PD)'!$H$3:$H$7</c:f>
              <c:numCache>
                <c:formatCode>0.0</c:formatCode>
                <c:ptCount val="5"/>
                <c:pt idx="0">
                  <c:v>52.5</c:v>
                </c:pt>
                <c:pt idx="1">
                  <c:v>68.25</c:v>
                </c:pt>
                <c:pt idx="2">
                  <c:v>104.55</c:v>
                </c:pt>
                <c:pt idx="3">
                  <c:v>120.61499999999999</c:v>
                </c:pt>
                <c:pt idx="4">
                  <c:v>70.95</c:v>
                </c:pt>
              </c:numCache>
            </c:numRef>
          </c:xVal>
          <c:yVal>
            <c:numRef>
              <c:f>'C172S (N97PD)'!$G$3:$G$7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DB-4140-99EA-533BD91114C4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'C172S (N97PD)'!$E$12:$E$13</c:f>
              <c:numCache>
                <c:formatCode>0.0</c:formatCode>
                <c:ptCount val="2"/>
                <c:pt idx="0">
                  <c:v>96.404169999999993</c:v>
                </c:pt>
                <c:pt idx="1">
                  <c:v>81.716169999999991</c:v>
                </c:pt>
              </c:numCache>
            </c:numRef>
          </c:xVal>
          <c:yVal>
            <c:numRef>
              <c:f>'C172S (N97PD)'!$C$12:$C$13</c:f>
              <c:numCache>
                <c:formatCode>0.0</c:formatCode>
                <c:ptCount val="2"/>
                <c:pt idx="0">
                  <c:v>2345</c:v>
                </c:pt>
                <c:pt idx="1">
                  <c:v>2039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DB-4140-99EA-533BD9111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306751"/>
        <c:axId val="1"/>
      </c:scatterChart>
      <c:valAx>
        <c:axId val="745306751"/>
        <c:scaling>
          <c:orientation val="minMax"/>
          <c:max val="130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3288590604"/>
              <c:y val="0.88339371006186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5"/>
        <c:minorUnit val="1"/>
      </c:valAx>
      <c:valAx>
        <c:axId val="1"/>
        <c:scaling>
          <c:orientation val="minMax"/>
          <c:max val="28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261744966443E-3"/>
              <c:y val="0.22261521196776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306751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42281879194629"/>
          <c:y val="0.4522975617447112"/>
          <c:w val="0.22986577181208057"/>
          <c:h val="0.310954434582602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Garvity Limits</a:t>
            </a:r>
          </a:p>
        </c:rich>
      </c:tx>
      <c:layout>
        <c:manualLayout>
          <c:xMode val="edge"/>
          <c:yMode val="edge"/>
          <c:x val="0.37248322147651008"/>
          <c:y val="1.7543859649122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8590604026847"/>
          <c:y val="8.7719598819897271E-2"/>
          <c:w val="0.57214765100671139"/>
          <c:h val="0.73333584613434122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'C172S (N97PD)'!$K$3:$K$7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'C172S (N97PD)'!$J$3:$J$7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EA-4193-8998-37B3957B3167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'C172S (N97PD)'!$D$12:$D$13</c:f>
              <c:numCache>
                <c:formatCode>0.0</c:formatCode>
                <c:ptCount val="2"/>
                <c:pt idx="0">
                  <c:v>41.110520255863541</c:v>
                </c:pt>
                <c:pt idx="1">
                  <c:v>40.076591466405098</c:v>
                </c:pt>
              </c:numCache>
            </c:numRef>
          </c:xVal>
          <c:yVal>
            <c:numRef>
              <c:f>'C172S (N97PD)'!$C$12:$C$13</c:f>
              <c:numCache>
                <c:formatCode>0.0</c:formatCode>
                <c:ptCount val="2"/>
                <c:pt idx="0">
                  <c:v>2345</c:v>
                </c:pt>
                <c:pt idx="1">
                  <c:v>2039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EA-4193-8998-37B3957B3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304255"/>
        <c:axId val="1"/>
      </c:scatterChart>
      <c:valAx>
        <c:axId val="745304255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26174496644295303"/>
              <c:y val="0.908774876824607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  <c:majorUnit val="1"/>
      </c:valAx>
      <c:valAx>
        <c:axId val="1"/>
        <c:scaling>
          <c:orientation val="minMax"/>
          <c:max val="28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2.1812080536912751E-2"/>
              <c:y val="0.185965649030713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304255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6241610738255"/>
          <c:y val="0.34035087719298246"/>
          <c:w val="0.19966442953020136"/>
          <c:h val="0.36842105263157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38100</xdr:rowOff>
    </xdr:from>
    <xdr:to>
      <xdr:col>5</xdr:col>
      <xdr:colOff>19050</xdr:colOff>
      <xdr:row>46</xdr:row>
      <xdr:rowOff>142875</xdr:rowOff>
    </xdr:to>
    <xdr:graphicFrame macro="">
      <xdr:nvGraphicFramePr>
        <xdr:cNvPr id="3087" name="Chart 1">
          <a:extLst>
            <a:ext uri="{FF2B5EF4-FFF2-40B4-BE49-F238E27FC236}">
              <a16:creationId xmlns:a16="http://schemas.microsoft.com/office/drawing/2014/main" id="{3CF19335-DBBF-4C87-8D0D-BBC2B1E2B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13</xdr:row>
      <xdr:rowOff>28575</xdr:rowOff>
    </xdr:from>
    <xdr:to>
      <xdr:col>5</xdr:col>
      <xdr:colOff>19050</xdr:colOff>
      <xdr:row>29</xdr:row>
      <xdr:rowOff>152400</xdr:rowOff>
    </xdr:to>
    <xdr:graphicFrame macro="">
      <xdr:nvGraphicFramePr>
        <xdr:cNvPr id="3088" name="Chart 2">
          <a:extLst>
            <a:ext uri="{FF2B5EF4-FFF2-40B4-BE49-F238E27FC236}">
              <a16:creationId xmlns:a16="http://schemas.microsoft.com/office/drawing/2014/main" id="{3FA1AA7C-414F-CA89-CCD7-974CA5D56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>
      <selection activeCell="C5" sqref="C5"/>
    </sheetView>
  </sheetViews>
  <sheetFormatPr defaultRowHeight="12.75" x14ac:dyDescent="0.2"/>
  <cols>
    <col min="1" max="1" width="42.28515625" customWidth="1"/>
    <col min="2" max="5" width="10.7109375" customWidth="1"/>
  </cols>
  <sheetData>
    <row r="1" spans="1:11" ht="25.5" x14ac:dyDescent="0.2">
      <c r="A1" s="2" t="s">
        <v>19</v>
      </c>
      <c r="B1" s="30">
        <v>44938</v>
      </c>
      <c r="C1" s="3"/>
      <c r="D1" s="3"/>
      <c r="E1" s="4"/>
      <c r="G1" s="34" t="s">
        <v>7</v>
      </c>
      <c r="H1" s="35"/>
      <c r="J1" s="34" t="s">
        <v>8</v>
      </c>
      <c r="K1" s="35"/>
    </row>
    <row r="2" spans="1:11" ht="76.5" x14ac:dyDescent="0.2">
      <c r="A2" s="5" t="s">
        <v>0</v>
      </c>
      <c r="B2" s="1" t="s">
        <v>1</v>
      </c>
      <c r="C2" s="1" t="s">
        <v>2</v>
      </c>
      <c r="D2" s="1" t="s">
        <v>3</v>
      </c>
      <c r="E2" s="6" t="s">
        <v>20</v>
      </c>
      <c r="G2" s="16" t="s">
        <v>6</v>
      </c>
      <c r="H2" s="17" t="s">
        <v>20</v>
      </c>
      <c r="J2" s="16" t="s">
        <v>6</v>
      </c>
      <c r="K2" s="17" t="s">
        <v>9</v>
      </c>
    </row>
    <row r="3" spans="1:11" x14ac:dyDescent="0.2">
      <c r="A3" s="7" t="s">
        <v>11</v>
      </c>
      <c r="B3" s="25"/>
      <c r="C3" s="10">
        <v>1619</v>
      </c>
      <c r="D3" s="10">
        <v>40.43</v>
      </c>
      <c r="E3" s="29">
        <f>C3*D3/1000</f>
        <v>65.45617</v>
      </c>
      <c r="G3" s="18">
        <f>J3</f>
        <v>1500</v>
      </c>
      <c r="H3" s="22">
        <f>G3*K3/1000</f>
        <v>52.5</v>
      </c>
      <c r="J3" s="18">
        <v>1500</v>
      </c>
      <c r="K3" s="22">
        <v>35</v>
      </c>
    </row>
    <row r="4" spans="1:11" x14ac:dyDescent="0.2">
      <c r="A4" s="7" t="s">
        <v>4</v>
      </c>
      <c r="B4" s="25"/>
      <c r="C4" s="31">
        <v>400</v>
      </c>
      <c r="D4" s="10">
        <v>37</v>
      </c>
      <c r="E4" s="11">
        <f t="shared" ref="E4:E9" si="0">C4*D4/1000</f>
        <v>14.8</v>
      </c>
      <c r="G4" s="18">
        <f>J4</f>
        <v>1950</v>
      </c>
      <c r="H4" s="22">
        <f>G4*K4/1000</f>
        <v>68.25</v>
      </c>
      <c r="J4" s="18">
        <v>1950</v>
      </c>
      <c r="K4" s="22">
        <v>35</v>
      </c>
    </row>
    <row r="5" spans="1:11" x14ac:dyDescent="0.2">
      <c r="A5" s="7" t="s">
        <v>10</v>
      </c>
      <c r="B5" s="25"/>
      <c r="C5" s="31">
        <v>20</v>
      </c>
      <c r="D5" s="10">
        <v>73</v>
      </c>
      <c r="E5" s="11">
        <f t="shared" si="0"/>
        <v>1.46</v>
      </c>
      <c r="G5" s="18">
        <f>J5</f>
        <v>2550</v>
      </c>
      <c r="H5" s="22">
        <f>G5*K5/1000</f>
        <v>104.55</v>
      </c>
      <c r="J5" s="18">
        <v>2550</v>
      </c>
      <c r="K5" s="22">
        <v>41</v>
      </c>
    </row>
    <row r="6" spans="1:11" x14ac:dyDescent="0.2">
      <c r="A6" s="7" t="s">
        <v>16</v>
      </c>
      <c r="B6" s="25"/>
      <c r="C6" s="31"/>
      <c r="D6" s="10">
        <v>95</v>
      </c>
      <c r="E6" s="11">
        <f>C6*D6/1000</f>
        <v>0</v>
      </c>
      <c r="G6" s="18">
        <f>J6</f>
        <v>2550</v>
      </c>
      <c r="H6" s="22">
        <f>G6*K6/1000</f>
        <v>120.61499999999999</v>
      </c>
      <c r="J6" s="18">
        <v>2550</v>
      </c>
      <c r="K6" s="22">
        <v>47.3</v>
      </c>
    </row>
    <row r="7" spans="1:11" ht="13.5" thickBot="1" x14ac:dyDescent="0.25">
      <c r="A7" s="7" t="s">
        <v>17</v>
      </c>
      <c r="B7" s="25"/>
      <c r="C7" s="31"/>
      <c r="D7" s="10">
        <v>123</v>
      </c>
      <c r="E7" s="11">
        <f t="shared" si="0"/>
        <v>0</v>
      </c>
      <c r="G7" s="19">
        <f>J7</f>
        <v>1500</v>
      </c>
      <c r="H7" s="24">
        <f>G7*K7/1000</f>
        <v>70.95</v>
      </c>
      <c r="J7" s="19">
        <v>1500</v>
      </c>
      <c r="K7" s="24">
        <v>47.3</v>
      </c>
    </row>
    <row r="8" spans="1:11" ht="13.5" thickBot="1" x14ac:dyDescent="0.25">
      <c r="A8" s="9" t="s">
        <v>15</v>
      </c>
      <c r="B8" s="32">
        <v>53</v>
      </c>
      <c r="C8" s="14">
        <f>6*B8</f>
        <v>318</v>
      </c>
      <c r="D8" s="14">
        <v>48</v>
      </c>
      <c r="E8" s="15">
        <f>C8*D8/1000</f>
        <v>15.263999999999999</v>
      </c>
    </row>
    <row r="9" spans="1:11" x14ac:dyDescent="0.2">
      <c r="A9" s="9" t="s">
        <v>12</v>
      </c>
      <c r="B9" s="33">
        <v>-2</v>
      </c>
      <c r="C9" s="14">
        <f>6*B9</f>
        <v>-12</v>
      </c>
      <c r="D9" s="14">
        <f>D8</f>
        <v>48</v>
      </c>
      <c r="E9" s="15">
        <f t="shared" si="0"/>
        <v>-0.57599999999999996</v>
      </c>
    </row>
    <row r="10" spans="1:11" ht="13.5" thickBot="1" x14ac:dyDescent="0.25">
      <c r="A10" s="25"/>
      <c r="B10" s="25"/>
      <c r="C10" s="25"/>
      <c r="D10" s="25"/>
      <c r="E10" s="25"/>
    </row>
    <row r="11" spans="1:11" ht="13.5" thickBot="1" x14ac:dyDescent="0.25">
      <c r="A11" s="8" t="s">
        <v>13</v>
      </c>
      <c r="B11" s="25"/>
      <c r="C11" s="12">
        <f>SUM(C3:C8)</f>
        <v>2357</v>
      </c>
      <c r="D11" s="27"/>
      <c r="E11" s="28"/>
      <c r="G11" t="s">
        <v>18</v>
      </c>
    </row>
    <row r="12" spans="1:11" ht="13.5" thickBot="1" x14ac:dyDescent="0.25">
      <c r="A12" s="8" t="s">
        <v>14</v>
      </c>
      <c r="B12" s="25"/>
      <c r="C12" s="12">
        <f>C13+C8+C9</f>
        <v>2345</v>
      </c>
      <c r="D12" s="20">
        <f>E12*1000/C12</f>
        <v>41.110520255863541</v>
      </c>
      <c r="E12" s="26">
        <f>SUM(E3:E9)</f>
        <v>96.404169999999993</v>
      </c>
      <c r="G12" s="20">
        <f>MIN(((((-D13*(C12-C13)/(D12-D13)+C13+K4*(J5-J4)/(K5-K4)-J4)/((J5-J4)/(K5-K4)-(C12-C13)/(D12-D13)))-D13)*(C12-C13)/(D12-D13)+C13),J5)-C12</f>
        <v>205</v>
      </c>
    </row>
    <row r="13" spans="1:11" ht="13.5" thickBot="1" x14ac:dyDescent="0.25">
      <c r="A13" s="8" t="s">
        <v>5</v>
      </c>
      <c r="B13" s="25"/>
      <c r="C13" s="12">
        <f>SUM(C3:C7)</f>
        <v>2039</v>
      </c>
      <c r="D13" s="12">
        <f>1000*E13/C13</f>
        <v>40.076591466405098</v>
      </c>
      <c r="E13" s="13">
        <f>SUM(E3:E7)</f>
        <v>81.716169999999991</v>
      </c>
    </row>
    <row r="25" spans="8:8" x14ac:dyDescent="0.2">
      <c r="H25" s="23"/>
    </row>
    <row r="26" spans="8:8" x14ac:dyDescent="0.2">
      <c r="H26" s="21"/>
    </row>
  </sheetData>
  <mergeCells count="2">
    <mergeCell ref="G1:H1"/>
    <mergeCell ref="J1:K1"/>
  </mergeCells>
  <phoneticPr fontId="2" type="noConversion"/>
  <conditionalFormatting sqref="G12">
    <cfRule type="cellIs" dxfId="0" priority="1" operator="lessThan">
      <formula>0</formula>
    </cfRule>
  </conditionalFormatting>
  <pageMargins left="0.75" right="0.75" top="1" bottom="1" header="0.5" footer="0.5"/>
  <pageSetup scale="6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C172S (N97PD)</vt:lpstr>
      <vt:lpstr>'C172S (N97PD)'!Print_Area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Scott Hunziker</cp:lastModifiedBy>
  <cp:lastPrinted>2015-10-18T22:14:11Z</cp:lastPrinted>
  <dcterms:created xsi:type="dcterms:W3CDTF">1998-12-17T17:30:16Z</dcterms:created>
  <dcterms:modified xsi:type="dcterms:W3CDTF">2023-02-24T02:45:57Z</dcterms:modified>
</cp:coreProperties>
</file>