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Scott\Dropbox\Aviation\BEFA\Operations\W&amp;B\"/>
    </mc:Choice>
  </mc:AlternateContent>
  <xr:revisionPtr revIDLastSave="0" documentId="13_ncr:1_{F759970E-0E39-4AA0-B4F9-5A8CBE97025E}" xr6:coauthVersionLast="47" xr6:coauthVersionMax="47" xr10:uidLastSave="{00000000-0000-0000-0000-000000000000}"/>
  <bookViews>
    <workbookView xWindow="-26310" yWindow="360" windowWidth="25500" windowHeight="15465" xr2:uid="{00000000-000D-0000-FFFF-FFFF00000000}"/>
  </bookViews>
  <sheets>
    <sheet name="T210N (N9843Y)" sheetId="7" r:id="rId1"/>
  </sheets>
  <definedNames>
    <definedName name="_xlnm.Print_Area" localSheetId="0">'T210N (N9843Y)'!$A$1:$K$49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7" l="1"/>
  <c r="C14" i="7"/>
  <c r="E7" i="7"/>
  <c r="C9" i="7"/>
  <c r="C13" i="7"/>
  <c r="G13" i="7" s="1"/>
  <c r="G7" i="7"/>
  <c r="H7" i="7"/>
  <c r="E5" i="7"/>
  <c r="G8" i="7"/>
  <c r="H8" i="7" s="1"/>
  <c r="G6" i="7"/>
  <c r="H6" i="7"/>
  <c r="G5" i="7"/>
  <c r="G4" i="7"/>
  <c r="H4" i="7" s="1"/>
  <c r="G3" i="7"/>
  <c r="H3" i="7"/>
  <c r="H5" i="7"/>
  <c r="D10" i="7"/>
  <c r="E3" i="7"/>
  <c r="E4" i="7"/>
  <c r="E8" i="7"/>
  <c r="E6" i="7"/>
  <c r="E10" i="7"/>
  <c r="C12" i="7"/>
  <c r="J20" i="7" s="1"/>
  <c r="E9" i="7"/>
  <c r="J16" i="7" l="1"/>
  <c r="E14" i="7"/>
  <c r="D14" i="7" s="1"/>
  <c r="E13" i="7"/>
  <c r="D13" i="7" s="1"/>
  <c r="H13" i="7" s="1"/>
  <c r="G11" i="7" l="1"/>
</calcChain>
</file>

<file path=xl/sharedStrings.xml><?xml version="1.0" encoding="utf-8"?>
<sst xmlns="http://schemas.openxmlformats.org/spreadsheetml/2006/main" count="29" uniqueCount="27">
  <si>
    <t>Item</t>
  </si>
  <si>
    <t xml:space="preserve">Volume </t>
  </si>
  <si>
    <t>Weight       (lb.)</t>
  </si>
  <si>
    <t>C. G. Arm (Inches Aft of Datum)</t>
  </si>
  <si>
    <t>Pilot and Front Passenger</t>
  </si>
  <si>
    <t>Total Without Fuel</t>
  </si>
  <si>
    <t>Weight (Pounds)</t>
  </si>
  <si>
    <t>Center of Gravity          Moment Table</t>
  </si>
  <si>
    <t>Center of Gravity          Limit Table</t>
  </si>
  <si>
    <t>Aircraft C.G Location (inches aft of datum)</t>
  </si>
  <si>
    <t>Rear Passengers</t>
  </si>
  <si>
    <t>Licensed Empty Weight</t>
  </si>
  <si>
    <t>Baggage Area - rear</t>
  </si>
  <si>
    <t>Engine Start, Taxi, Runup</t>
  </si>
  <si>
    <t>Total Ramp Weight</t>
  </si>
  <si>
    <t>Total Loaded Airplane at Takeoff</t>
  </si>
  <si>
    <t>Middle Passengers</t>
  </si>
  <si>
    <t>Fuel Main Tank (87 Gal. Usable) - units gallons</t>
  </si>
  <si>
    <t>Load Remaining at Takeoff</t>
  </si>
  <si>
    <t>Baggage Area - wheel well</t>
  </si>
  <si>
    <t>Note: maximum landing weight</t>
  </si>
  <si>
    <t>Weight at landing:</t>
  </si>
  <si>
    <t>Expected Fuel during Flight:</t>
  </si>
  <si>
    <t>Note: maximum takeoff weight</t>
  </si>
  <si>
    <t>Available</t>
  </si>
  <si>
    <t>Moment (kip-in)</t>
  </si>
  <si>
    <t>WEIGHT AND BALANCE
T210N (N9843Y)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</si>
</sst>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0"/>
      <name val="Arial"/>
    </font>
    <font>
      <i/>
      <sz val="10"/>
      <name val="Arial"/>
      <family val="2"/>
    </font>
    <font>
      <sz val="8"/>
      <name val="Arial"/>
    </font>
    <font>
      <sz val="10"/>
      <color indexed="10"/>
      <name val="Arial"/>
    </font>
    <font>
      <b/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/>
    <xf numFmtId="0" fontId="0" fillId="0" borderId="2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/>
    <xf numFmtId="0" fontId="0" fillId="0" borderId="7" xfId="0" applyBorder="1"/>
    <xf numFmtId="0" fontId="0" fillId="2" borderId="8" xfId="0" applyFill="1" applyBorder="1"/>
    <xf numFmtId="0" fontId="0" fillId="0" borderId="2" xfId="0" applyBorder="1"/>
    <xf numFmtId="164" fontId="0" fillId="0" borderId="1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0" xfId="0" applyNumberFormat="1"/>
    <xf numFmtId="9" fontId="0" fillId="0" borderId="0" xfId="0" applyNumberFormat="1"/>
    <xf numFmtId="165" fontId="0" fillId="0" borderId="6" xfId="0" applyNumberFormat="1" applyBorder="1" applyAlignment="1">
      <alignment horizontal="right"/>
    </xf>
    <xf numFmtId="164" fontId="0" fillId="0" borderId="10" xfId="0" applyNumberFormat="1" applyBorder="1" applyAlignment="1">
      <alignment horizontal="center"/>
    </xf>
    <xf numFmtId="9" fontId="0" fillId="0" borderId="0" xfId="0" applyNumberFormat="1" applyAlignment="1">
      <alignment horizontal="left"/>
    </xf>
    <xf numFmtId="164" fontId="0" fillId="0" borderId="12" xfId="0" applyNumberFormat="1" applyBorder="1" applyAlignment="1">
      <alignment horizontal="center"/>
    </xf>
    <xf numFmtId="164" fontId="0" fillId="2" borderId="14" xfId="0" applyNumberFormat="1" applyFill="1" applyBorder="1" applyAlignment="1">
      <alignment horizontal="right"/>
    </xf>
    <xf numFmtId="0" fontId="0" fillId="0" borderId="15" xfId="0" applyBorder="1"/>
    <xf numFmtId="0" fontId="0" fillId="2" borderId="16" xfId="0" applyFill="1" applyBorder="1"/>
    <xf numFmtId="164" fontId="0" fillId="2" borderId="17" xfId="0" applyNumberFormat="1" applyFill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2" borderId="13" xfId="0" applyFill="1" applyBorder="1"/>
    <xf numFmtId="0" fontId="0" fillId="2" borderId="9" xfId="0" applyFill="1" applyBorder="1"/>
    <xf numFmtId="164" fontId="0" fillId="2" borderId="10" xfId="0" applyNumberFormat="1" applyFill="1" applyBorder="1" applyAlignment="1">
      <alignment horizontal="right"/>
    </xf>
    <xf numFmtId="0" fontId="4" fillId="0" borderId="0" xfId="0" applyFont="1"/>
    <xf numFmtId="14" fontId="0" fillId="0" borderId="3" xfId="0" applyNumberFormat="1" applyBorder="1" applyAlignment="1">
      <alignment horizontal="centerContinuous" vertical="center" wrapText="1"/>
    </xf>
    <xf numFmtId="164" fontId="5" fillId="3" borderId="1" xfId="0" applyNumberFormat="1" applyFont="1" applyFill="1" applyBorder="1" applyAlignment="1">
      <alignment horizontal="right"/>
    </xf>
    <xf numFmtId="0" fontId="1" fillId="3" borderId="3" xfId="0" applyFont="1" applyFill="1" applyBorder="1"/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Gravity Moment Envelope</a:t>
            </a:r>
          </a:p>
        </c:rich>
      </c:tx>
      <c:layout>
        <c:manualLayout>
          <c:xMode val="edge"/>
          <c:yMode val="edge"/>
          <c:x val="0.29026845637583892"/>
          <c:y val="1.766784452296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29530201342283"/>
          <c:y val="9.1872950034766379E-2"/>
          <c:w val="0.63087248322147649"/>
          <c:h val="0.73851717527946814"/>
        </c:manualLayout>
      </c:layout>
      <c:scatterChart>
        <c:scatterStyle val="lineMarker"/>
        <c:varyColors val="0"/>
        <c:ser>
          <c:idx val="0"/>
          <c:order val="0"/>
          <c:tx>
            <c:v>Moment Envelope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'T210N (N9843Y)'!$H$3:$H$8</c:f>
              <c:numCache>
                <c:formatCode>0.0</c:formatCode>
                <c:ptCount val="6"/>
                <c:pt idx="0">
                  <c:v>96.2</c:v>
                </c:pt>
                <c:pt idx="1">
                  <c:v>111</c:v>
                </c:pt>
                <c:pt idx="2">
                  <c:v>175.6</c:v>
                </c:pt>
                <c:pt idx="3">
                  <c:v>208</c:v>
                </c:pt>
                <c:pt idx="4">
                  <c:v>201.4</c:v>
                </c:pt>
                <c:pt idx="5">
                  <c:v>137.80000000000001</c:v>
                </c:pt>
              </c:numCache>
            </c:numRef>
          </c:xVal>
          <c:yVal>
            <c:numRef>
              <c:f>'T210N (N9843Y)'!$G$3:$G$8</c:f>
              <c:numCache>
                <c:formatCode>General</c:formatCode>
                <c:ptCount val="6"/>
                <c:pt idx="0">
                  <c:v>2600</c:v>
                </c:pt>
                <c:pt idx="1">
                  <c:v>3000</c:v>
                </c:pt>
                <c:pt idx="2">
                  <c:v>4000</c:v>
                </c:pt>
                <c:pt idx="3">
                  <c:v>4000</c:v>
                </c:pt>
                <c:pt idx="4">
                  <c:v>3800</c:v>
                </c:pt>
                <c:pt idx="5">
                  <c:v>2600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E0-48D6-8FCA-197F34E814D0}"/>
            </c:ext>
          </c:extLst>
        </c:ser>
        <c:ser>
          <c:idx val="1"/>
          <c:order val="1"/>
          <c:tx>
            <c:v>Moment Change During Fuel Consumption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'T210N (N9843Y)'!$E$13:$E$14</c:f>
              <c:numCache>
                <c:formatCode>0.0</c:formatCode>
                <c:ptCount val="2"/>
                <c:pt idx="0">
                  <c:v>139.99616649999999</c:v>
                </c:pt>
                <c:pt idx="1">
                  <c:v>118.2364465</c:v>
                </c:pt>
              </c:numCache>
            </c:numRef>
          </c:xVal>
          <c:yVal>
            <c:numRef>
              <c:f>'T210N (N9843Y)'!$C$13:$C$14</c:f>
              <c:numCache>
                <c:formatCode>0.0</c:formatCode>
                <c:ptCount val="2"/>
                <c:pt idx="0">
                  <c:v>3409.63</c:v>
                </c:pt>
                <c:pt idx="1">
                  <c:v>2903.59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E0-48D6-8FCA-197F34E81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5490927"/>
        <c:axId val="1"/>
      </c:scatterChart>
      <c:valAx>
        <c:axId val="1755490927"/>
        <c:scaling>
          <c:orientation val="minMax"/>
          <c:max val="220"/>
          <c:min val="8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 Monent/1000 (Pound-Inches)</a:t>
                </a:r>
              </a:p>
            </c:rich>
          </c:tx>
          <c:layout>
            <c:manualLayout>
              <c:xMode val="edge"/>
              <c:yMode val="edge"/>
              <c:x val="0.2348993288590604"/>
              <c:y val="0.883393710061860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  <c:majorUnit val="20"/>
        <c:minorUnit val="1"/>
      </c:valAx>
      <c:valAx>
        <c:axId val="1"/>
        <c:scaling>
          <c:orientation val="minMax"/>
          <c:max val="4200"/>
          <c:min val="2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 Weight (Pounds)</a:t>
                </a:r>
              </a:p>
            </c:rich>
          </c:tx>
          <c:layout>
            <c:manualLayout>
              <c:xMode val="edge"/>
              <c:yMode val="edge"/>
              <c:x val="8.389261744966443E-3"/>
              <c:y val="0.222615211967761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5490927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42281879194629"/>
          <c:y val="0.4522975617447112"/>
          <c:w val="0.22986577181208057"/>
          <c:h val="0.310954434582602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pattFill prst="pct5">
      <a:fgClr>
        <a:srgbClr val="FFFFFF"/>
      </a:fgClr>
      <a:bgClr>
        <a:srgbClr val="FFFFFF"/>
      </a:bgClr>
    </a:patt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Gravity Limits</a:t>
            </a:r>
          </a:p>
        </c:rich>
      </c:tx>
      <c:layout>
        <c:manualLayout>
          <c:xMode val="edge"/>
          <c:yMode val="edge"/>
          <c:x val="0.37248322147651008"/>
          <c:y val="1.7543859649122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88590604026847"/>
          <c:y val="8.7719598819897271E-2"/>
          <c:w val="0.57214765100671139"/>
          <c:h val="0.73333584613434122"/>
        </c:manualLayout>
      </c:layout>
      <c:scatterChart>
        <c:scatterStyle val="lineMarker"/>
        <c:varyColors val="0"/>
        <c:ser>
          <c:idx val="0"/>
          <c:order val="0"/>
          <c:tx>
            <c:v>C.G Limits Envelope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'T210N (N9843Y)'!$K$3:$K$8</c:f>
              <c:numCache>
                <c:formatCode>0.0</c:formatCode>
                <c:ptCount val="6"/>
                <c:pt idx="0">
                  <c:v>37</c:v>
                </c:pt>
                <c:pt idx="1">
                  <c:v>37</c:v>
                </c:pt>
                <c:pt idx="2">
                  <c:v>43.9</c:v>
                </c:pt>
                <c:pt idx="3">
                  <c:v>52</c:v>
                </c:pt>
                <c:pt idx="4">
                  <c:v>53</c:v>
                </c:pt>
                <c:pt idx="5">
                  <c:v>53</c:v>
                </c:pt>
              </c:numCache>
            </c:numRef>
          </c:xVal>
          <c:yVal>
            <c:numRef>
              <c:f>'T210N (N9843Y)'!$J$3:$J$8</c:f>
              <c:numCache>
                <c:formatCode>General</c:formatCode>
                <c:ptCount val="6"/>
                <c:pt idx="0">
                  <c:v>2600</c:v>
                </c:pt>
                <c:pt idx="1">
                  <c:v>3000</c:v>
                </c:pt>
                <c:pt idx="2">
                  <c:v>4000</c:v>
                </c:pt>
                <c:pt idx="3">
                  <c:v>4000</c:v>
                </c:pt>
                <c:pt idx="4">
                  <c:v>3800</c:v>
                </c:pt>
                <c:pt idx="5">
                  <c:v>2600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AC-4200-816C-87FA928C51C3}"/>
            </c:ext>
          </c:extLst>
        </c:ser>
        <c:ser>
          <c:idx val="1"/>
          <c:order val="1"/>
          <c:tx>
            <c:v>C.G Change During Fuel Consumption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'T210N (N9843Y)'!$D$13:$D$14</c:f>
              <c:numCache>
                <c:formatCode>0.0</c:formatCode>
                <c:ptCount val="2"/>
                <c:pt idx="0">
                  <c:v>41.059049368993115</c:v>
                </c:pt>
                <c:pt idx="1">
                  <c:v>40.720778932287274</c:v>
                </c:pt>
              </c:numCache>
            </c:numRef>
          </c:xVal>
          <c:yVal>
            <c:numRef>
              <c:f>'T210N (N9843Y)'!$C$13:$C$14</c:f>
              <c:numCache>
                <c:formatCode>0.0</c:formatCode>
                <c:ptCount val="2"/>
                <c:pt idx="0">
                  <c:v>3409.63</c:v>
                </c:pt>
                <c:pt idx="1">
                  <c:v>2903.59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AC-4200-816C-87FA928C5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5485935"/>
        <c:axId val="1"/>
      </c:scatterChart>
      <c:valAx>
        <c:axId val="1755485935"/>
        <c:scaling>
          <c:orientation val="minMax"/>
          <c:max val="55"/>
          <c:min val="3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Aircraft C.G. Location (Inches Aft of Datum)</a:t>
                </a:r>
              </a:p>
            </c:rich>
          </c:tx>
          <c:layout>
            <c:manualLayout>
              <c:xMode val="edge"/>
              <c:yMode val="edge"/>
              <c:x val="0.26174496644295303"/>
              <c:y val="0.908774876824607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1100"/>
        <c:crossBetween val="midCat"/>
        <c:majorUnit val="1"/>
      </c:valAx>
      <c:valAx>
        <c:axId val="1"/>
        <c:scaling>
          <c:orientation val="minMax"/>
          <c:max val="4200"/>
          <c:min val="2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 Weight (Pounds)</a:t>
                </a:r>
              </a:p>
            </c:rich>
          </c:tx>
          <c:layout>
            <c:manualLayout>
              <c:xMode val="edge"/>
              <c:yMode val="edge"/>
              <c:x val="2.1812080536912751E-2"/>
              <c:y val="0.185965649030713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5485935"/>
        <c:crosses val="autoZero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36241610738255"/>
          <c:y val="0.34035198231799974"/>
          <c:w val="0.19966442953020136"/>
          <c:h val="0.3684221577565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47625</xdr:rowOff>
    </xdr:from>
    <xdr:to>
      <xdr:col>5</xdr:col>
      <xdr:colOff>0</xdr:colOff>
      <xdr:row>47</xdr:row>
      <xdr:rowOff>152400</xdr:rowOff>
    </xdr:to>
    <xdr:graphicFrame macro="">
      <xdr:nvGraphicFramePr>
        <xdr:cNvPr id="3091" name="Chart 1">
          <a:extLst>
            <a:ext uri="{FF2B5EF4-FFF2-40B4-BE49-F238E27FC236}">
              <a16:creationId xmlns:a16="http://schemas.microsoft.com/office/drawing/2014/main" id="{4F2DBA20-F79A-A265-22E5-9641832329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14</xdr:row>
      <xdr:rowOff>28575</xdr:rowOff>
    </xdr:from>
    <xdr:to>
      <xdr:col>5</xdr:col>
      <xdr:colOff>9525</xdr:colOff>
      <xdr:row>30</xdr:row>
      <xdr:rowOff>152400</xdr:rowOff>
    </xdr:to>
    <xdr:graphicFrame macro="">
      <xdr:nvGraphicFramePr>
        <xdr:cNvPr id="3092" name="Chart 2">
          <a:extLst>
            <a:ext uri="{FF2B5EF4-FFF2-40B4-BE49-F238E27FC236}">
              <a16:creationId xmlns:a16="http://schemas.microsoft.com/office/drawing/2014/main" id="{F33BEE39-209B-30D6-8790-A2564A70BA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workbookViewId="0">
      <selection activeCell="A2" sqref="A2"/>
    </sheetView>
  </sheetViews>
  <sheetFormatPr defaultRowHeight="12.75" x14ac:dyDescent="0.2"/>
  <cols>
    <col min="1" max="1" width="42.28515625" customWidth="1"/>
    <col min="2" max="5" width="10.7109375" customWidth="1"/>
  </cols>
  <sheetData>
    <row r="1" spans="1:11" ht="25.5" x14ac:dyDescent="0.2">
      <c r="A1" s="3" t="s">
        <v>26</v>
      </c>
      <c r="B1" s="38">
        <v>44050</v>
      </c>
      <c r="C1" s="4"/>
      <c r="D1" s="4"/>
      <c r="E1" s="5"/>
      <c r="G1" s="44" t="s">
        <v>7</v>
      </c>
      <c r="H1" s="45"/>
      <c r="J1" s="44" t="s">
        <v>8</v>
      </c>
      <c r="K1" s="45"/>
    </row>
    <row r="2" spans="1:11" ht="76.5" x14ac:dyDescent="0.2">
      <c r="A2" s="6" t="s">
        <v>0</v>
      </c>
      <c r="B2" s="1" t="s">
        <v>1</v>
      </c>
      <c r="C2" s="1" t="s">
        <v>2</v>
      </c>
      <c r="D2" s="1" t="s">
        <v>3</v>
      </c>
      <c r="E2" s="41" t="s">
        <v>25</v>
      </c>
      <c r="G2" s="15" t="s">
        <v>6</v>
      </c>
      <c r="H2" s="42" t="s">
        <v>25</v>
      </c>
      <c r="J2" s="15" t="s">
        <v>6</v>
      </c>
      <c r="K2" s="16" t="s">
        <v>9</v>
      </c>
    </row>
    <row r="3" spans="1:11" x14ac:dyDescent="0.2">
      <c r="A3" s="7" t="s">
        <v>11</v>
      </c>
      <c r="B3" s="2"/>
      <c r="C3" s="11">
        <v>2483.59</v>
      </c>
      <c r="D3" s="11">
        <v>41.35</v>
      </c>
      <c r="E3" s="21">
        <f t="shared" ref="E3:E10" si="0">C3*D3/1000</f>
        <v>102.69644650000001</v>
      </c>
      <c r="G3" s="17">
        <f t="shared" ref="G3:G8" si="1">J3</f>
        <v>2600</v>
      </c>
      <c r="H3" s="22">
        <f t="shared" ref="H3:H8" si="2">G3*K3/1000</f>
        <v>96.2</v>
      </c>
      <c r="J3" s="17">
        <v>2600</v>
      </c>
      <c r="K3" s="22">
        <v>37</v>
      </c>
    </row>
    <row r="4" spans="1:11" x14ac:dyDescent="0.2">
      <c r="A4" s="7" t="s">
        <v>4</v>
      </c>
      <c r="B4" s="2"/>
      <c r="C4" s="39">
        <v>420</v>
      </c>
      <c r="D4" s="11">
        <v>37</v>
      </c>
      <c r="E4" s="12">
        <f t="shared" si="0"/>
        <v>15.54</v>
      </c>
      <c r="G4" s="17">
        <f t="shared" si="1"/>
        <v>3000</v>
      </c>
      <c r="H4" s="22">
        <f t="shared" si="2"/>
        <v>111</v>
      </c>
      <c r="J4" s="17">
        <v>3000</v>
      </c>
      <c r="K4" s="22">
        <v>37</v>
      </c>
    </row>
    <row r="5" spans="1:11" x14ac:dyDescent="0.2">
      <c r="A5" s="7" t="s">
        <v>16</v>
      </c>
      <c r="B5" s="2"/>
      <c r="C5" s="39">
        <v>0</v>
      </c>
      <c r="D5" s="11">
        <v>71</v>
      </c>
      <c r="E5" s="12">
        <f t="shared" si="0"/>
        <v>0</v>
      </c>
      <c r="G5" s="17">
        <f t="shared" si="1"/>
        <v>4000</v>
      </c>
      <c r="H5" s="22">
        <f t="shared" si="2"/>
        <v>175.6</v>
      </c>
      <c r="J5" s="17">
        <v>4000</v>
      </c>
      <c r="K5" s="22">
        <v>43.9</v>
      </c>
    </row>
    <row r="6" spans="1:11" x14ac:dyDescent="0.2">
      <c r="A6" s="7" t="s">
        <v>10</v>
      </c>
      <c r="B6" s="2"/>
      <c r="C6" s="39">
        <v>0</v>
      </c>
      <c r="D6" s="11">
        <v>101</v>
      </c>
      <c r="E6" s="12">
        <f t="shared" si="0"/>
        <v>0</v>
      </c>
      <c r="G6" s="17">
        <f t="shared" si="1"/>
        <v>4000</v>
      </c>
      <c r="H6" s="22">
        <f t="shared" si="2"/>
        <v>208</v>
      </c>
      <c r="J6" s="17">
        <v>4000</v>
      </c>
      <c r="K6" s="22">
        <v>52</v>
      </c>
    </row>
    <row r="7" spans="1:11" x14ac:dyDescent="0.2">
      <c r="A7" s="7" t="s">
        <v>19</v>
      </c>
      <c r="B7" s="2"/>
      <c r="C7" s="39">
        <v>0</v>
      </c>
      <c r="D7" s="11">
        <v>117</v>
      </c>
      <c r="E7" s="12">
        <f>C7*D7/1000</f>
        <v>0</v>
      </c>
      <c r="G7" s="17">
        <f t="shared" si="1"/>
        <v>3800</v>
      </c>
      <c r="H7" s="22">
        <f t="shared" si="2"/>
        <v>201.4</v>
      </c>
      <c r="J7" s="17">
        <v>3800</v>
      </c>
      <c r="K7" s="22">
        <v>53</v>
      </c>
    </row>
    <row r="8" spans="1:11" ht="13.5" thickBot="1" x14ac:dyDescent="0.25">
      <c r="A8" s="7" t="s">
        <v>12</v>
      </c>
      <c r="B8" s="2"/>
      <c r="C8" s="39">
        <v>0</v>
      </c>
      <c r="D8" s="11">
        <v>138</v>
      </c>
      <c r="E8" s="12">
        <f t="shared" si="0"/>
        <v>0</v>
      </c>
      <c r="G8" s="18">
        <f t="shared" si="1"/>
        <v>2600</v>
      </c>
      <c r="H8" s="24">
        <f t="shared" si="2"/>
        <v>137.80000000000001</v>
      </c>
      <c r="J8" s="18">
        <v>2600</v>
      </c>
      <c r="K8" s="24">
        <v>53</v>
      </c>
    </row>
    <row r="9" spans="1:11" ht="13.5" thickBot="1" x14ac:dyDescent="0.25">
      <c r="A9" s="10" t="s">
        <v>17</v>
      </c>
      <c r="B9" s="40">
        <v>87</v>
      </c>
      <c r="C9" s="13">
        <f>6*B9</f>
        <v>522</v>
      </c>
      <c r="D9" s="13">
        <v>43</v>
      </c>
      <c r="E9" s="14">
        <f>C9*D9/1000</f>
        <v>22.446000000000002</v>
      </c>
    </row>
    <row r="10" spans="1:11" x14ac:dyDescent="0.2">
      <c r="A10" s="10" t="s">
        <v>13</v>
      </c>
      <c r="B10" s="40">
        <v>-2.66</v>
      </c>
      <c r="C10" s="13">
        <f>6*B10</f>
        <v>-15.96</v>
      </c>
      <c r="D10" s="13">
        <f>D9</f>
        <v>43</v>
      </c>
      <c r="E10" s="14">
        <f t="shared" si="0"/>
        <v>-0.68628000000000011</v>
      </c>
      <c r="G10" t="s">
        <v>24</v>
      </c>
    </row>
    <row r="11" spans="1:11" x14ac:dyDescent="0.2">
      <c r="A11" s="35"/>
      <c r="B11" s="34"/>
      <c r="C11" s="34"/>
      <c r="D11" s="34"/>
      <c r="E11" s="36"/>
      <c r="G11" s="19">
        <f>MIN(((((-D14*(C13-C14)/(D13-D14)+C14+K4*(J5-J4)/(K5-K4)-J4)/((J5-J4)/(K5-K4)-(C13-C14)/(D13-D14)))-D14)*(C13-C14)/(D13-D14)+C14),J5)-C13</f>
        <v>197.8007872078615</v>
      </c>
    </row>
    <row r="12" spans="1:11" ht="13.5" thickBot="1" x14ac:dyDescent="0.25">
      <c r="A12" s="26" t="s">
        <v>14</v>
      </c>
      <c r="B12" s="27"/>
      <c r="C12" s="33">
        <f>SUM(C3:C9)</f>
        <v>3425.59</v>
      </c>
      <c r="D12" s="25"/>
      <c r="E12" s="28"/>
    </row>
    <row r="13" spans="1:11" ht="13.5" thickBot="1" x14ac:dyDescent="0.25">
      <c r="A13" s="8" t="s">
        <v>15</v>
      </c>
      <c r="B13" s="9"/>
      <c r="C13" s="29">
        <f>SUM(C3:C10)</f>
        <v>3409.63</v>
      </c>
      <c r="D13" s="29">
        <f>1000*E13/C13</f>
        <v>41.059049368993115</v>
      </c>
      <c r="E13" s="30">
        <f>SUM(E3:E10)</f>
        <v>139.99616649999999</v>
      </c>
      <c r="G13">
        <f>K4+(C13-J4)/(J5-J4)*(K5-K4)</f>
        <v>39.826447000000002</v>
      </c>
      <c r="H13" s="37" t="str">
        <f>IF(D13&lt;G13,"Forward CG Limit Problem","")</f>
        <v/>
      </c>
    </row>
    <row r="14" spans="1:11" ht="13.5" thickBot="1" x14ac:dyDescent="0.25">
      <c r="A14" s="26" t="s">
        <v>5</v>
      </c>
      <c r="B14" s="27"/>
      <c r="C14" s="31">
        <f>SUM(C3:C8)</f>
        <v>2903.59</v>
      </c>
      <c r="D14" s="31">
        <f>1000*E14/C14</f>
        <v>40.720778932287274</v>
      </c>
      <c r="E14" s="32">
        <f>SUM(E3:E8)</f>
        <v>118.2364465</v>
      </c>
    </row>
    <row r="15" spans="1:11" x14ac:dyDescent="0.2">
      <c r="G15" t="s">
        <v>23</v>
      </c>
      <c r="J15">
        <v>4000</v>
      </c>
    </row>
    <row r="16" spans="1:11" x14ac:dyDescent="0.2">
      <c r="G16" t="s">
        <v>18</v>
      </c>
      <c r="J16" s="19">
        <f>J15-C13</f>
        <v>590.36999999999989</v>
      </c>
    </row>
    <row r="18" spans="7:10" x14ac:dyDescent="0.2">
      <c r="G18" t="s">
        <v>20</v>
      </c>
      <c r="J18">
        <v>3800</v>
      </c>
    </row>
    <row r="19" spans="7:10" x14ac:dyDescent="0.2">
      <c r="G19" t="s">
        <v>22</v>
      </c>
      <c r="J19" s="43">
        <v>30</v>
      </c>
    </row>
    <row r="20" spans="7:10" x14ac:dyDescent="0.2">
      <c r="G20" t="s">
        <v>21</v>
      </c>
      <c r="J20">
        <f>C12-J19*6</f>
        <v>3245.59</v>
      </c>
    </row>
    <row r="26" spans="7:10" x14ac:dyDescent="0.2">
      <c r="H26" s="23"/>
    </row>
    <row r="27" spans="7:10" x14ac:dyDescent="0.2">
      <c r="H27" s="20"/>
    </row>
  </sheetData>
  <mergeCells count="2">
    <mergeCell ref="G1:H1"/>
    <mergeCell ref="J1:K1"/>
  </mergeCells>
  <phoneticPr fontId="2" type="noConversion"/>
  <pageMargins left="0.25" right="0.25" top="0.5" bottom="0.5" header="0.5" footer="0.5"/>
  <pageSetup scale="79" orientation="landscape" horizontalDpi="300" verticalDpi="300" r:id="rId1"/>
  <headerFooter alignWithMargins="0"/>
  <ignoredErrors>
    <ignoredError sqref="D13:D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T210N (N9843Y)</vt:lpstr>
      <vt:lpstr>'T210N (N9843Y)'!Print_Area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&amp; Balance PA28-180 (N32576)</dc:title>
  <dc:creator>Mike Dubbury</dc:creator>
  <cp:lastModifiedBy>Scott Hunziker</cp:lastModifiedBy>
  <cp:lastPrinted>2007-12-11T06:54:38Z</cp:lastPrinted>
  <dcterms:created xsi:type="dcterms:W3CDTF">1998-12-17T17:30:16Z</dcterms:created>
  <dcterms:modified xsi:type="dcterms:W3CDTF">2023-02-25T02:52:20Z</dcterms:modified>
</cp:coreProperties>
</file>