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scott\Dropbox\Aviation\BEFA\Operations\W&amp;B\"/>
    </mc:Choice>
  </mc:AlternateContent>
  <xr:revisionPtr revIDLastSave="0" documentId="8_{FD6694B4-94DF-480C-94A0-E369C8B0E1E8}" xr6:coauthVersionLast="47" xr6:coauthVersionMax="47" xr10:uidLastSave="{00000000-0000-0000-0000-000000000000}"/>
  <bookViews>
    <workbookView xWindow="28680" yWindow="-120" windowWidth="29040" windowHeight="16440"/>
  </bookViews>
  <sheets>
    <sheet name="CC18-180 N513MM" sheetId="7" r:id="rId1"/>
  </sheets>
  <definedNames>
    <definedName name="_xlnm.Print_Area" localSheetId="0">'CC18-180 N513MM'!$A$1:$M$52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7" l="1"/>
  <c r="C15" i="7"/>
  <c r="E9" i="7"/>
  <c r="E8" i="7"/>
  <c r="E4" i="7"/>
  <c r="G7" i="7"/>
  <c r="H7" i="7"/>
  <c r="G6" i="7"/>
  <c r="H6" i="7"/>
  <c r="G5" i="7"/>
  <c r="H5" i="7"/>
  <c r="G4" i="7"/>
  <c r="H4" i="7"/>
  <c r="G3" i="7"/>
  <c r="E6" i="7"/>
  <c r="C10" i="7"/>
  <c r="C14" i="7"/>
  <c r="H13" i="7"/>
  <c r="E10" i="7"/>
  <c r="C11" i="7"/>
  <c r="E11" i="7"/>
  <c r="H3" i="7"/>
  <c r="E3" i="7"/>
  <c r="E14" i="7" s="1"/>
  <c r="D14" i="7" s="1"/>
  <c r="E16" i="7" s="1"/>
  <c r="E7" i="7"/>
  <c r="E5" i="7"/>
  <c r="C13" i="7"/>
  <c r="E15" i="7" l="1"/>
  <c r="D15" i="7" s="1"/>
</calcChain>
</file>

<file path=xl/sharedStrings.xml><?xml version="1.0" encoding="utf-8"?>
<sst xmlns="http://schemas.openxmlformats.org/spreadsheetml/2006/main" count="25" uniqueCount="24">
  <si>
    <t>Item</t>
  </si>
  <si>
    <t xml:space="preserve">Volume </t>
  </si>
  <si>
    <t>Weight       (lb.)</t>
  </si>
  <si>
    <t>C. G. Arm (Inches Aft of Datum)</t>
  </si>
  <si>
    <t>Total Without Fuel</t>
  </si>
  <si>
    <t>Weight (Pounds)</t>
  </si>
  <si>
    <t xml:space="preserve">Moment/1000 (Pound-Inches) </t>
  </si>
  <si>
    <t>Center of Gravity          Moment Table</t>
  </si>
  <si>
    <t>Center of Gravity          Limit Table</t>
  </si>
  <si>
    <t>Aircraft C.G Location (inches aft of datum)</t>
  </si>
  <si>
    <t>Engine Start, Taxi, Runup</t>
  </si>
  <si>
    <t>Total Ramp Weight</t>
  </si>
  <si>
    <t>Total Loaded Airplane at Takeoff</t>
  </si>
  <si>
    <t>WEIGHT AND BALANCE                                                                                                                                         CC18-180 (N513MM)</t>
  </si>
  <si>
    <t>Pilot</t>
  </si>
  <si>
    <t>Fuel (44 Gal. Usable) - units gallons</t>
  </si>
  <si>
    <t>Cargo under rear seat (5lbs max)</t>
  </si>
  <si>
    <t>Forward Cargo Compartment (180 lbs limit)</t>
  </si>
  <si>
    <t>Extended Cargo Compartment (20 lbs limit)</t>
  </si>
  <si>
    <t>Storage/Excessory Compartment (5 lbs limit)</t>
  </si>
  <si>
    <t>Rear Passenger</t>
  </si>
  <si>
    <t>Moment          (lb.-ins./1000)</t>
  </si>
  <si>
    <t>Available Load</t>
  </si>
  <si>
    <t>Licensed Empty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</si>
</sst>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73" formatCode="#,##0.0"/>
  </numFmts>
  <fonts count="6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right"/>
    </xf>
    <xf numFmtId="164" fontId="0" fillId="0" borderId="6" xfId="0" applyNumberFormat="1" applyBorder="1" applyAlignment="1" applyProtection="1">
      <alignment horizontal="right"/>
    </xf>
    <xf numFmtId="173" fontId="0" fillId="0" borderId="7" xfId="0" applyNumberFormat="1" applyBorder="1" applyAlignment="1" applyProtection="1">
      <alignment horizontal="right"/>
    </xf>
    <xf numFmtId="164" fontId="0" fillId="0" borderId="7" xfId="0" applyNumberFormat="1" applyBorder="1" applyAlignment="1" applyProtection="1">
      <alignment horizontal="right"/>
    </xf>
    <xf numFmtId="164" fontId="0" fillId="0" borderId="8" xfId="0" applyNumberFormat="1" applyBorder="1" applyAlignment="1" applyProtection="1">
      <alignment horizontal="right"/>
    </xf>
    <xf numFmtId="2" fontId="0" fillId="0" borderId="0" xfId="0" applyNumberFormat="1" applyProtection="1"/>
    <xf numFmtId="164" fontId="0" fillId="0" borderId="9" xfId="0" applyNumberFormat="1" applyBorder="1" applyAlignment="1" applyProtection="1">
      <alignment horizontal="right"/>
    </xf>
    <xf numFmtId="2" fontId="0" fillId="0" borderId="10" xfId="0" applyNumberFormat="1" applyBorder="1" applyAlignment="1" applyProtection="1">
      <alignment horizontal="right"/>
    </xf>
    <xf numFmtId="164" fontId="0" fillId="0" borderId="11" xfId="0" applyNumberFormat="1" applyBorder="1" applyAlignment="1" applyProtection="1">
      <alignment horizontal="right"/>
    </xf>
    <xf numFmtId="0" fontId="0" fillId="0" borderId="12" xfId="0" applyBorder="1" applyAlignment="1" applyProtection="1">
      <alignment horizontal="centerContinuous" vertical="center" wrapText="1"/>
      <protection locked="0"/>
    </xf>
    <xf numFmtId="0" fontId="0" fillId="0" borderId="6" xfId="0" applyBorder="1" applyAlignment="1" applyProtection="1">
      <alignment horizontal="centerContinuous" vertical="center" wrapText="1"/>
      <protection locked="0"/>
    </xf>
    <xf numFmtId="0" fontId="0" fillId="0" borderId="8" xfId="0" applyBorder="1" applyAlignment="1" applyProtection="1">
      <alignment horizontal="centerContinuous" vertical="center"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2" borderId="5" xfId="0" applyFill="1" applyBorder="1" applyProtection="1"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2" fillId="3" borderId="6" xfId="0" applyFont="1" applyFill="1" applyBorder="1" applyProtection="1"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0" fillId="2" borderId="15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 applyProtection="1">
      <protection locked="0"/>
    </xf>
    <xf numFmtId="164" fontId="0" fillId="0" borderId="19" xfId="0" applyNumberFormat="1" applyBorder="1" applyAlignment="1" applyProtection="1">
      <alignment horizontal="right"/>
      <protection locked="0"/>
    </xf>
    <xf numFmtId="164" fontId="0" fillId="2" borderId="20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0" fontId="0" fillId="2" borderId="19" xfId="0" applyFill="1" applyBorder="1" applyProtection="1">
      <protection locked="0"/>
    </xf>
    <xf numFmtId="2" fontId="0" fillId="0" borderId="0" xfId="0" applyNumberFormat="1" applyProtection="1">
      <protection locked="0"/>
    </xf>
    <xf numFmtId="0" fontId="0" fillId="2" borderId="10" xfId="0" applyFill="1" applyBorder="1" applyProtection="1"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left"/>
      <protection locked="0"/>
    </xf>
    <xf numFmtId="9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0" borderId="6" xfId="0" applyNumberFormat="1" applyBorder="1" applyAlignment="1" applyProtection="1">
      <alignment horizontal="centerContinuous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Moment Envelope</a:t>
            </a:r>
          </a:p>
        </c:rich>
      </c:tx>
      <c:layout>
        <c:manualLayout>
          <c:xMode val="edge"/>
          <c:yMode val="edge"/>
          <c:x val="1.6779030072221366E-3"/>
          <c:y val="3.5336259197108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9530201342283"/>
          <c:y val="9.1872950034766379E-2"/>
          <c:w val="0.63087248322147649"/>
          <c:h val="0.73851717527946814"/>
        </c:manualLayout>
      </c:layout>
      <c:scatterChart>
        <c:scatterStyle val="lineMarker"/>
        <c:varyColors val="0"/>
        <c:ser>
          <c:idx val="0"/>
          <c:order val="0"/>
          <c:tx>
            <c:v>Moment 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'CC18-180 N513MM'!$H$3:$H$7</c:f>
              <c:numCache>
                <c:formatCode>0.0</c:formatCode>
                <c:ptCount val="5"/>
                <c:pt idx="0">
                  <c:v>91.52000000000001</c:v>
                </c:pt>
                <c:pt idx="1">
                  <c:v>112.64000000000001</c:v>
                </c:pt>
                <c:pt idx="2">
                  <c:v>182.16</c:v>
                </c:pt>
                <c:pt idx="3">
                  <c:v>186.3</c:v>
                </c:pt>
                <c:pt idx="4">
                  <c:v>105.3</c:v>
                </c:pt>
              </c:numCache>
            </c:numRef>
          </c:xVal>
          <c:yVal>
            <c:numRef>
              <c:f>'CC18-180 N513MM'!$G$3:$G$7</c:f>
              <c:numCache>
                <c:formatCode>General</c:formatCode>
                <c:ptCount val="5"/>
                <c:pt idx="0">
                  <c:v>1300</c:v>
                </c:pt>
                <c:pt idx="1">
                  <c:v>1600</c:v>
                </c:pt>
                <c:pt idx="2">
                  <c:v>2300</c:v>
                </c:pt>
                <c:pt idx="3">
                  <c:v>2300</c:v>
                </c:pt>
                <c:pt idx="4">
                  <c:v>1300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34-4831-8EDB-49556116F4CD}"/>
            </c:ext>
          </c:extLst>
        </c:ser>
        <c:ser>
          <c:idx val="1"/>
          <c:order val="1"/>
          <c:tx>
            <c:v>Moment Change During Fuel Consumption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'CC18-180 N513MM'!$E$14:$E$15</c:f>
              <c:numCache>
                <c:formatCode>0.0</c:formatCode>
                <c:ptCount val="2"/>
                <c:pt idx="0">
                  <c:v>162.98505</c:v>
                </c:pt>
                <c:pt idx="1">
                  <c:v>141.31305</c:v>
                </c:pt>
              </c:numCache>
            </c:numRef>
          </c:xVal>
          <c:yVal>
            <c:numRef>
              <c:f>'CC18-180 N513MM'!$C$14:$C$15</c:f>
              <c:numCache>
                <c:formatCode>0.0</c:formatCode>
                <c:ptCount val="2"/>
                <c:pt idx="0">
                  <c:v>2066</c:v>
                </c:pt>
                <c:pt idx="1">
                  <c:v>1808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34-4831-8EDB-49556116F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316239"/>
        <c:axId val="1"/>
      </c:scatterChart>
      <c:valAx>
        <c:axId val="955316239"/>
        <c:scaling>
          <c:orientation val="minMax"/>
          <c:max val="190"/>
          <c:min val="9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Monent/1000 (Pound-Inches)</a:t>
                </a:r>
              </a:p>
            </c:rich>
          </c:tx>
          <c:layout>
            <c:manualLayout>
              <c:xMode val="edge"/>
              <c:yMode val="edge"/>
              <c:x val="0.23489938757655293"/>
              <c:y val="0.883393571705176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  <c:majorUnit val="10"/>
        <c:minorUnit val="1"/>
      </c:valAx>
      <c:valAx>
        <c:axId val="1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(Pounds)</a:t>
                </a:r>
              </a:p>
            </c:rich>
          </c:tx>
          <c:layout>
            <c:manualLayout>
              <c:xMode val="edge"/>
              <c:yMode val="edge"/>
              <c:x val="8.3893434889266288E-3"/>
              <c:y val="0.222615205886149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5316239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09181515168478"/>
          <c:y val="0.44877786599047004"/>
          <c:w val="0.22987324210989143"/>
          <c:h val="0.3109641906075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Garvity Limits</a:t>
            </a:r>
          </a:p>
        </c:rich>
      </c:tx>
      <c:layout>
        <c:manualLayout>
          <c:xMode val="edge"/>
          <c:yMode val="edge"/>
          <c:x val="0.37248314548916683"/>
          <c:y val="1.7543691184943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53020134228187"/>
          <c:y val="8.7719598819897271E-2"/>
          <c:w val="0.57550335570469802"/>
          <c:h val="0.73333584613434122"/>
        </c:manualLayout>
      </c:layout>
      <c:scatterChart>
        <c:scatterStyle val="lineMarker"/>
        <c:varyColors val="0"/>
        <c:ser>
          <c:idx val="0"/>
          <c:order val="0"/>
          <c:tx>
            <c:v>C.G Limits 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'CC18-180 N513MM'!$K$3:$K$7</c:f>
              <c:numCache>
                <c:formatCode>0.0</c:formatCode>
                <c:ptCount val="5"/>
                <c:pt idx="0">
                  <c:v>70.400000000000006</c:v>
                </c:pt>
                <c:pt idx="1">
                  <c:v>70.400000000000006</c:v>
                </c:pt>
                <c:pt idx="2">
                  <c:v>79.2</c:v>
                </c:pt>
                <c:pt idx="3">
                  <c:v>81</c:v>
                </c:pt>
                <c:pt idx="4">
                  <c:v>81</c:v>
                </c:pt>
              </c:numCache>
            </c:numRef>
          </c:xVal>
          <c:yVal>
            <c:numRef>
              <c:f>'CC18-180 N513MM'!$J$3:$J$7</c:f>
              <c:numCache>
                <c:formatCode>General</c:formatCode>
                <c:ptCount val="5"/>
                <c:pt idx="0">
                  <c:v>1300</c:v>
                </c:pt>
                <c:pt idx="1">
                  <c:v>1600</c:v>
                </c:pt>
                <c:pt idx="2">
                  <c:v>2300</c:v>
                </c:pt>
                <c:pt idx="3">
                  <c:v>2300</c:v>
                </c:pt>
                <c:pt idx="4">
                  <c:v>1300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44-42ED-B19F-5AD31B82772E}"/>
            </c:ext>
          </c:extLst>
        </c:ser>
        <c:ser>
          <c:idx val="1"/>
          <c:order val="1"/>
          <c:tx>
            <c:v>C.G Change During Fuel Consumption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'CC18-180 N513MM'!$D$14:$D$15</c:f>
              <c:numCache>
                <c:formatCode>0.00</c:formatCode>
                <c:ptCount val="2"/>
                <c:pt idx="0">
                  <c:v>78.889181994191674</c:v>
                </c:pt>
                <c:pt idx="1">
                  <c:v>78.159872787610624</c:v>
                </c:pt>
              </c:numCache>
            </c:numRef>
          </c:xVal>
          <c:yVal>
            <c:numRef>
              <c:f>'CC18-180 N513MM'!$C$14:$C$15</c:f>
              <c:numCache>
                <c:formatCode>0.0</c:formatCode>
                <c:ptCount val="2"/>
                <c:pt idx="0">
                  <c:v>2066</c:v>
                </c:pt>
                <c:pt idx="1">
                  <c:v>1808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44-42ED-B19F-5AD31B827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315759"/>
        <c:axId val="1"/>
      </c:scatterChart>
      <c:valAx>
        <c:axId val="9553157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Aircraft C.G. Location (Inches Aft of Datum)</a:t>
                </a:r>
              </a:p>
            </c:rich>
          </c:tx>
          <c:layout>
            <c:manualLayout>
              <c:xMode val="edge"/>
              <c:yMode val="edge"/>
              <c:x val="0.26006707494896469"/>
              <c:y val="0.908774868588580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100"/>
        <c:crossBetween val="midCat"/>
        <c:majorUnit val="1"/>
      </c:valAx>
      <c:valAx>
        <c:axId val="1"/>
        <c:scaling>
          <c:orientation val="minMax"/>
          <c:max val="2400"/>
          <c:min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(Pounds)</a:t>
                </a:r>
              </a:p>
            </c:rich>
          </c:tx>
          <c:layout>
            <c:manualLayout>
              <c:xMode val="edge"/>
              <c:yMode val="edge"/>
              <c:x val="1.845641843789134E-2"/>
              <c:y val="0.18596547382796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5315759"/>
        <c:crosses val="autoZero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64995268597549"/>
          <c:y val="0.33334473171133222"/>
          <c:w val="0.19967091832902978"/>
          <c:h val="0.36843365083884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19050</xdr:rowOff>
    </xdr:from>
    <xdr:to>
      <xdr:col>5</xdr:col>
      <xdr:colOff>19050</xdr:colOff>
      <xdr:row>48</xdr:row>
      <xdr:rowOff>123825</xdr:rowOff>
    </xdr:to>
    <xdr:graphicFrame macro="">
      <xdr:nvGraphicFramePr>
        <xdr:cNvPr id="3223" name="Chart 1">
          <a:extLst>
            <a:ext uri="{FF2B5EF4-FFF2-40B4-BE49-F238E27FC236}">
              <a16:creationId xmlns:a16="http://schemas.microsoft.com/office/drawing/2014/main" id="{6F6AF283-F6D6-BA1B-CD75-ADF043581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28575</xdr:rowOff>
    </xdr:from>
    <xdr:to>
      <xdr:col>5</xdr:col>
      <xdr:colOff>9525</xdr:colOff>
      <xdr:row>31</xdr:row>
      <xdr:rowOff>152400</xdr:rowOff>
    </xdr:to>
    <xdr:graphicFrame macro="">
      <xdr:nvGraphicFramePr>
        <xdr:cNvPr id="3224" name="Chart 2">
          <a:extLst>
            <a:ext uri="{FF2B5EF4-FFF2-40B4-BE49-F238E27FC236}">
              <a16:creationId xmlns:a16="http://schemas.microsoft.com/office/drawing/2014/main" id="{9028D98F-3E90-32BD-DF84-0F9ECF012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activeCell="D3" sqref="D3"/>
    </sheetView>
  </sheetViews>
  <sheetFormatPr defaultRowHeight="12.75" x14ac:dyDescent="0.2"/>
  <cols>
    <col min="1" max="1" width="42.28515625" style="17" customWidth="1"/>
    <col min="2" max="5" width="10.7109375" style="17" customWidth="1"/>
    <col min="6" max="16384" width="9.140625" style="17"/>
  </cols>
  <sheetData>
    <row r="1" spans="1:11" ht="25.5" x14ac:dyDescent="0.2">
      <c r="A1" s="14" t="s">
        <v>13</v>
      </c>
      <c r="B1" s="15"/>
      <c r="C1" s="53">
        <v>45049</v>
      </c>
      <c r="D1" s="15"/>
      <c r="E1" s="16"/>
      <c r="G1" s="51" t="s">
        <v>7</v>
      </c>
      <c r="H1" s="52"/>
      <c r="J1" s="51" t="s">
        <v>8</v>
      </c>
      <c r="K1" s="52"/>
    </row>
    <row r="2" spans="1:11" ht="76.5" x14ac:dyDescent="0.2">
      <c r="A2" s="18" t="s">
        <v>0</v>
      </c>
      <c r="B2" s="19" t="s">
        <v>1</v>
      </c>
      <c r="C2" s="19" t="s">
        <v>2</v>
      </c>
      <c r="D2" s="19" t="s">
        <v>3</v>
      </c>
      <c r="E2" s="20" t="s">
        <v>21</v>
      </c>
      <c r="G2" s="21" t="s">
        <v>5</v>
      </c>
      <c r="H2" s="22" t="s">
        <v>6</v>
      </c>
      <c r="J2" s="21" t="s">
        <v>5</v>
      </c>
      <c r="K2" s="22" t="s">
        <v>9</v>
      </c>
    </row>
    <row r="3" spans="1:11" x14ac:dyDescent="0.2">
      <c r="A3" s="23" t="s">
        <v>23</v>
      </c>
      <c r="B3" s="24"/>
      <c r="C3" s="25">
        <v>1313</v>
      </c>
      <c r="D3" s="5">
        <v>74.849999999999994</v>
      </c>
      <c r="E3" s="7">
        <f t="shared" ref="E3:E11" si="0">C3*D3/1000</f>
        <v>98.278049999999993</v>
      </c>
      <c r="G3" s="1">
        <f>J3</f>
        <v>1300</v>
      </c>
      <c r="H3" s="2">
        <f>G3*K3/1000</f>
        <v>91.52000000000001</v>
      </c>
      <c r="J3" s="1">
        <v>1300</v>
      </c>
      <c r="K3" s="2">
        <v>70.400000000000006</v>
      </c>
    </row>
    <row r="4" spans="1:11" x14ac:dyDescent="0.2">
      <c r="A4" s="23" t="s">
        <v>14</v>
      </c>
      <c r="B4" s="24"/>
      <c r="C4" s="26">
        <v>250</v>
      </c>
      <c r="D4" s="5">
        <v>71</v>
      </c>
      <c r="E4" s="8">
        <f t="shared" si="0"/>
        <v>17.75</v>
      </c>
      <c r="G4" s="1">
        <f>J4</f>
        <v>1600</v>
      </c>
      <c r="H4" s="2">
        <f>G4*K4/1000</f>
        <v>112.64000000000001</v>
      </c>
      <c r="J4" s="1">
        <v>1600</v>
      </c>
      <c r="K4" s="2">
        <v>70.400000000000006</v>
      </c>
    </row>
    <row r="5" spans="1:11" x14ac:dyDescent="0.2">
      <c r="A5" s="23" t="s">
        <v>20</v>
      </c>
      <c r="B5" s="24"/>
      <c r="C5" s="26">
        <v>200</v>
      </c>
      <c r="D5" s="5">
        <v>97</v>
      </c>
      <c r="E5" s="8">
        <f t="shared" si="0"/>
        <v>19.399999999999999</v>
      </c>
      <c r="G5" s="1">
        <f>J5</f>
        <v>2300</v>
      </c>
      <c r="H5" s="2">
        <f>G5*K5/1000</f>
        <v>182.16</v>
      </c>
      <c r="J5" s="1">
        <v>2300</v>
      </c>
      <c r="K5" s="2">
        <v>79.2</v>
      </c>
    </row>
    <row r="6" spans="1:11" x14ac:dyDescent="0.2">
      <c r="A6" s="23" t="s">
        <v>16</v>
      </c>
      <c r="B6" s="24"/>
      <c r="C6" s="26">
        <v>5</v>
      </c>
      <c r="D6" s="5">
        <v>97</v>
      </c>
      <c r="E6" s="8">
        <f>C6*D6/1000</f>
        <v>0.48499999999999999</v>
      </c>
      <c r="G6" s="1">
        <f>J6</f>
        <v>2300</v>
      </c>
      <c r="H6" s="2">
        <f>G6*K6/1000</f>
        <v>186.3</v>
      </c>
      <c r="J6" s="1">
        <v>2300</v>
      </c>
      <c r="K6" s="2">
        <v>81</v>
      </c>
    </row>
    <row r="7" spans="1:11" ht="13.5" thickBot="1" x14ac:dyDescent="0.25">
      <c r="A7" s="23" t="s">
        <v>17</v>
      </c>
      <c r="B7" s="24"/>
      <c r="C7" s="26">
        <v>20</v>
      </c>
      <c r="D7" s="5">
        <v>117</v>
      </c>
      <c r="E7" s="8">
        <f t="shared" si="0"/>
        <v>2.34</v>
      </c>
      <c r="G7" s="3">
        <f>J7</f>
        <v>1300</v>
      </c>
      <c r="H7" s="4">
        <f>G7*K7/1000</f>
        <v>105.3</v>
      </c>
      <c r="J7" s="3">
        <v>1300</v>
      </c>
      <c r="K7" s="4">
        <v>81</v>
      </c>
    </row>
    <row r="8" spans="1:11" x14ac:dyDescent="0.2">
      <c r="A8" s="23" t="s">
        <v>18</v>
      </c>
      <c r="B8" s="24"/>
      <c r="C8" s="26">
        <v>20</v>
      </c>
      <c r="D8" s="5">
        <v>153</v>
      </c>
      <c r="E8" s="8">
        <f t="shared" si="0"/>
        <v>3.06</v>
      </c>
      <c r="G8" s="27"/>
      <c r="H8" s="28"/>
      <c r="J8" s="27"/>
      <c r="K8" s="28"/>
    </row>
    <row r="9" spans="1:11" ht="13.5" thickBot="1" x14ac:dyDescent="0.25">
      <c r="A9" s="23" t="s">
        <v>19</v>
      </c>
      <c r="B9" s="24"/>
      <c r="C9" s="26">
        <v>0</v>
      </c>
      <c r="D9" s="5">
        <v>150</v>
      </c>
      <c r="E9" s="8">
        <f t="shared" si="0"/>
        <v>0</v>
      </c>
      <c r="G9" s="27"/>
      <c r="H9" s="28"/>
      <c r="J9" s="27"/>
      <c r="K9" s="28"/>
    </row>
    <row r="10" spans="1:11" ht="13.5" thickBot="1" x14ac:dyDescent="0.25">
      <c r="A10" s="29" t="s">
        <v>15</v>
      </c>
      <c r="B10" s="30">
        <v>44</v>
      </c>
      <c r="C10" s="31">
        <f>6*B10</f>
        <v>264</v>
      </c>
      <c r="D10" s="6">
        <v>84</v>
      </c>
      <c r="E10" s="9">
        <f>C10*D10/1000</f>
        <v>22.175999999999998</v>
      </c>
    </row>
    <row r="11" spans="1:11" x14ac:dyDescent="0.2">
      <c r="A11" s="29" t="s">
        <v>10</v>
      </c>
      <c r="B11" s="30">
        <v>-1</v>
      </c>
      <c r="C11" s="31">
        <f>6*B11</f>
        <v>-6</v>
      </c>
      <c r="D11" s="6">
        <f>D10</f>
        <v>84</v>
      </c>
      <c r="E11" s="9">
        <f t="shared" si="0"/>
        <v>-0.504</v>
      </c>
    </row>
    <row r="12" spans="1:11" ht="13.5" thickBot="1" x14ac:dyDescent="0.25">
      <c r="A12" s="32"/>
      <c r="B12" s="33"/>
      <c r="C12" s="34"/>
      <c r="D12" s="34"/>
      <c r="E12" s="35"/>
      <c r="H12" s="50" t="s">
        <v>22</v>
      </c>
    </row>
    <row r="13" spans="1:11" ht="13.5" thickBot="1" x14ac:dyDescent="0.25">
      <c r="A13" s="36" t="s">
        <v>11</v>
      </c>
      <c r="B13" s="37"/>
      <c r="C13" s="38">
        <f>SUM(C3:C10)</f>
        <v>2072</v>
      </c>
      <c r="D13" s="39"/>
      <c r="E13" s="40"/>
      <c r="H13" s="41">
        <f>J6-C14</f>
        <v>234</v>
      </c>
    </row>
    <row r="14" spans="1:11" ht="13.5" thickBot="1" x14ac:dyDescent="0.25">
      <c r="A14" s="36" t="s">
        <v>12</v>
      </c>
      <c r="B14" s="42"/>
      <c r="C14" s="38">
        <f>C15+C10+C11</f>
        <v>2066</v>
      </c>
      <c r="D14" s="10">
        <f>E14*1000/C14</f>
        <v>78.889181994191674</v>
      </c>
      <c r="E14" s="11">
        <f>SUM(E3:E11)</f>
        <v>162.98505</v>
      </c>
    </row>
    <row r="15" spans="1:11" ht="13.5" thickBot="1" x14ac:dyDescent="0.25">
      <c r="A15" s="36" t="s">
        <v>4</v>
      </c>
      <c r="B15" s="44"/>
      <c r="C15" s="45">
        <f>SUM(C3:C9)</f>
        <v>1808</v>
      </c>
      <c r="D15" s="12">
        <f>1000*E15/C15</f>
        <v>78.159872787610624</v>
      </c>
      <c r="E15" s="13">
        <f>SUM(E3:E9)</f>
        <v>141.31305</v>
      </c>
    </row>
    <row r="16" spans="1:11" x14ac:dyDescent="0.2">
      <c r="D16" s="43"/>
      <c r="E16" s="46" t="str">
        <f>IF(D14&lt;D16,"NOT OK","")</f>
        <v/>
      </c>
      <c r="F16" s="47"/>
    </row>
    <row r="27" spans="8:8" x14ac:dyDescent="0.2">
      <c r="H27" s="48"/>
    </row>
    <row r="28" spans="8:8" x14ac:dyDescent="0.2">
      <c r="H28" s="49"/>
    </row>
  </sheetData>
  <sheetProtection sheet="1"/>
  <mergeCells count="2">
    <mergeCell ref="G1:H1"/>
    <mergeCell ref="J1:K1"/>
  </mergeCells>
  <phoneticPr fontId="3" type="noConversion"/>
  <pageMargins left="0.75" right="0.75" top="1" bottom="1" header="0.5" footer="0.5"/>
  <pageSetup scale="6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CC18-180 N513MM</vt:lpstr>
      <vt:lpstr>'CC18-180 N513MM'!Print_Area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&amp; Balance PA28-180 (N32576)</dc:title>
  <dc:creator>Mike Dubbury</dc:creator>
  <cp:lastModifiedBy>Scott Hunziker</cp:lastModifiedBy>
  <cp:lastPrinted>2016-02-18T15:39:37Z</cp:lastPrinted>
  <dcterms:created xsi:type="dcterms:W3CDTF">1998-12-17T17:30:16Z</dcterms:created>
  <dcterms:modified xsi:type="dcterms:W3CDTF">2023-06-18T21:19:35Z</dcterms:modified>
</cp:coreProperties>
</file>