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hwolv\Documents\BEFA\Weight and Balance\"/>
    </mc:Choice>
  </mc:AlternateContent>
  <xr:revisionPtr revIDLastSave="0" documentId="8_{7C320304-452C-4EB0-B7EE-B79CD14CA1F5}" xr6:coauthVersionLast="47" xr6:coauthVersionMax="47" xr10:uidLastSave="{00000000-0000-0000-0000-000000000000}"/>
  <bookViews>
    <workbookView xWindow="-108" yWindow="-108" windowWidth="23256" windowHeight="14616"/>
  </bookViews>
  <sheets>
    <sheet name="C172XP N758NF" sheetId="7" r:id="rId1"/>
  </sheets>
  <definedNames>
    <definedName name="_xlnm.Print_Area" localSheetId="0">'C172XP N758NF'!$A$1:$M$50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7" l="1"/>
  <c r="G7" i="7"/>
  <c r="H7" i="7"/>
  <c r="G6" i="7"/>
  <c r="H6" i="7"/>
  <c r="G5" i="7"/>
  <c r="H5" i="7"/>
  <c r="G4" i="7"/>
  <c r="G3" i="7"/>
  <c r="E6" i="7"/>
  <c r="C8" i="7"/>
  <c r="C11" i="7" s="1"/>
  <c r="D9" i="7"/>
  <c r="C9" i="7"/>
  <c r="E9" i="7"/>
  <c r="H4" i="7"/>
  <c r="H3" i="7"/>
  <c r="E3" i="7"/>
  <c r="E7" i="7"/>
  <c r="E5" i="7"/>
  <c r="E4" i="7"/>
  <c r="E8" i="7" l="1"/>
  <c r="C12" i="7"/>
  <c r="H11" i="7" s="1"/>
  <c r="E12" i="7"/>
  <c r="E13" i="7"/>
  <c r="D13" i="7" s="1"/>
  <c r="D12" i="7" l="1"/>
  <c r="D14" i="7"/>
  <c r="E14" i="7"/>
  <c r="F14" i="7" l="1"/>
</calcChain>
</file>

<file path=xl/sharedStrings.xml><?xml version="1.0" encoding="utf-8"?>
<sst xmlns="http://schemas.openxmlformats.org/spreadsheetml/2006/main" count="25" uniqueCount="24">
  <si>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</si>
  <si>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</si>
  <si>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</si>
  <si>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</si>
  <si>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</si>
  <si>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</si>
  <si>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</si>
  <si>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</si>
  <si>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</si>
  <si>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</si>
  <si>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</si>
  <si>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Rear Passengers</t>
  </si>
  <si>
    <t>Moment          (lb.-ins./100)</t>
  </si>
  <si>
    <t>Engine Start, Taxi, Runup</t>
  </si>
  <si>
    <t>Total Ramp Weight</t>
  </si>
  <si>
    <t>Total Loaded Airplane at Takeoff</t>
  </si>
  <si>
    <t>Baggage Area 1</t>
  </si>
  <si>
    <t>Baggage Area 2</t>
  </si>
  <si>
    <t>WEIGHT AND BALANCE                                                                                                                                         C172XP (N758NF)</t>
  </si>
  <si>
    <t>Fuel Main Tank (66 Gal. Usable) - units gallons</t>
  </si>
  <si>
    <t>Available</t>
  </si>
  <si>
    <t>Forward CG Limit at takeoff</t>
  </si>
  <si>
    <t>`</t>
  </si>
  <si>
    <t>Licensed Empty Weight (3-15-2024) - EDO Floats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</si>
</sst>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3" formatCode="#,##0.0"/>
  </numFmts>
  <fonts count="5" x14ac:knownFonts="1">
    <font>
      <sz val="10"/>
      <name val="Arial"/>
    </font>
    <font>
      <i/>
      <sz val="10"/>
      <name val="Arial"/>
      <family val="2"/>
    </font>
    <font>
      <sz val="8"/>
      <name val="Arial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0" borderId="7" xfId="0" applyBorder="1"/>
    <xf numFmtId="0" fontId="0" fillId="2" borderId="8" xfId="0" applyFill="1" applyBorder="1"/>
    <xf numFmtId="0" fontId="0" fillId="0" borderId="2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1" fillId="0" borderId="3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173" fontId="0" fillId="0" borderId="6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9" fontId="0" fillId="0" borderId="0" xfId="0" applyNumberFormat="1" applyAlignment="1">
      <alignment horizontal="left"/>
    </xf>
    <xf numFmtId="164" fontId="0" fillId="0" borderId="13" xfId="0" applyNumberFormat="1" applyBorder="1" applyAlignment="1">
      <alignment horizontal="center"/>
    </xf>
    <xf numFmtId="0" fontId="0" fillId="2" borderId="14" xfId="0" applyFill="1" applyBorder="1"/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2" borderId="16" xfId="0" applyFill="1" applyBorder="1"/>
    <xf numFmtId="164" fontId="0" fillId="2" borderId="17" xfId="0" applyNumberFormat="1" applyFill="1" applyBorder="1" applyAlignment="1">
      <alignment horizontal="right"/>
    </xf>
    <xf numFmtId="0" fontId="0" fillId="2" borderId="18" xfId="0" applyFill="1" applyBorder="1"/>
    <xf numFmtId="164" fontId="0" fillId="2" borderId="19" xfId="0" applyNumberFormat="1" applyFill="1" applyBorder="1" applyAlignment="1">
      <alignment horizontal="right"/>
    </xf>
    <xf numFmtId="164" fontId="0" fillId="2" borderId="15" xfId="0" applyNumberFormat="1" applyFill="1" applyBorder="1" applyAlignment="1">
      <alignment horizontal="right"/>
    </xf>
    <xf numFmtId="164" fontId="0" fillId="2" borderId="20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8" xfId="0" applyNumberForma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Moment Envelope</a:t>
            </a:r>
          </a:p>
        </c:rich>
      </c:tx>
      <c:layout>
        <c:manualLayout>
          <c:xMode val="edge"/>
          <c:yMode val="edge"/>
          <c:x val="1.6779030072221366E-3"/>
          <c:y val="3.5336259197108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9530201342283"/>
          <c:y val="9.1872950034766379E-2"/>
          <c:w val="0.63087248322147649"/>
          <c:h val="0.73851717527946814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'C172XP N758NF'!$H$3:$H$7</c:f>
              <c:numCache>
                <c:formatCode>0.0</c:formatCode>
                <c:ptCount val="5"/>
                <c:pt idx="0">
                  <c:v>59.2</c:v>
                </c:pt>
                <c:pt idx="1">
                  <c:v>77.7</c:v>
                </c:pt>
                <c:pt idx="2">
                  <c:v>100.72499999999999</c:v>
                </c:pt>
                <c:pt idx="3">
                  <c:v>116.02500000000001</c:v>
                </c:pt>
                <c:pt idx="4">
                  <c:v>72.8</c:v>
                </c:pt>
              </c:numCache>
            </c:numRef>
          </c:xVal>
          <c:yVal>
            <c:numRef>
              <c:f>'C172XP N758NF'!$G$3:$G$7</c:f>
              <c:numCache>
                <c:formatCode>General</c:formatCode>
                <c:ptCount val="5"/>
                <c:pt idx="0">
                  <c:v>1600</c:v>
                </c:pt>
                <c:pt idx="1">
                  <c:v>2100</c:v>
                </c:pt>
                <c:pt idx="2">
                  <c:v>2550</c:v>
                </c:pt>
                <c:pt idx="3">
                  <c:v>2550</c:v>
                </c:pt>
                <c:pt idx="4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8E-48E2-A0F3-99B67452D1CE}"/>
            </c:ext>
          </c:extLst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'C172XP N758NF'!$E$12:$E$13</c:f>
              <c:numCache>
                <c:formatCode>0.0</c:formatCode>
                <c:ptCount val="2"/>
                <c:pt idx="0">
                  <c:v>100.80126100000001</c:v>
                </c:pt>
                <c:pt idx="1">
                  <c:v>92.449261000000007</c:v>
                </c:pt>
              </c:numCache>
            </c:numRef>
          </c:xVal>
          <c:yVal>
            <c:numRef>
              <c:f>'C172XP N758NF'!$C$12:$C$13</c:f>
              <c:numCache>
                <c:formatCode>0.0</c:formatCode>
                <c:ptCount val="2"/>
                <c:pt idx="0">
                  <c:v>2549.66</c:v>
                </c:pt>
                <c:pt idx="1">
                  <c:v>2375.66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8E-48E2-A0F3-99B67452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66367"/>
        <c:axId val="1"/>
      </c:scatterChart>
      <c:valAx>
        <c:axId val="213366367"/>
        <c:scaling>
          <c:orientation val="minMax"/>
          <c:max val="130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Monent/1000 (Pound-Inches)</a:t>
                </a:r>
              </a:p>
            </c:rich>
          </c:tx>
          <c:layout>
            <c:manualLayout>
              <c:xMode val="edge"/>
              <c:yMode val="edge"/>
              <c:x val="0.23489938757655293"/>
              <c:y val="0.883393571705176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  <c:majorUnit val="5"/>
        <c:minorUnit val="1"/>
      </c:valAx>
      <c:valAx>
        <c:axId val="1"/>
        <c:scaling>
          <c:orientation val="minMax"/>
          <c:max val="2700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8.3893434889266288E-3"/>
              <c:y val="0.22261520588614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366367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39886435764159"/>
          <c:y val="0.46175078525020441"/>
          <c:w val="0.22483660130718952"/>
          <c:h val="0.29781564189722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rgbClr val="FFFFFF"/>
      </a:fgClr>
      <a:bgClr>
        <a:srgbClr val="FFFFFF"/>
      </a:bgClr>
    </a:patt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Garvity Limits</a:t>
            </a:r>
          </a:p>
        </c:rich>
      </c:tx>
      <c:layout>
        <c:manualLayout>
          <c:xMode val="edge"/>
          <c:yMode val="edge"/>
          <c:x val="0.37248314548916683"/>
          <c:y val="1.7543691184943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53020134228187"/>
          <c:y val="8.7719598819897271E-2"/>
          <c:w val="0.57550335570469802"/>
          <c:h val="0.73333584613434122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'C172XP N758NF'!$K$3:$K$7</c:f>
              <c:numCache>
                <c:formatCode>0.0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39.5</c:v>
                </c:pt>
                <c:pt idx="3">
                  <c:v>45.5</c:v>
                </c:pt>
                <c:pt idx="4">
                  <c:v>45.5</c:v>
                </c:pt>
              </c:numCache>
            </c:numRef>
          </c:xVal>
          <c:yVal>
            <c:numRef>
              <c:f>'C172XP N758NF'!$J$3:$J$7</c:f>
              <c:numCache>
                <c:formatCode>General</c:formatCode>
                <c:ptCount val="5"/>
                <c:pt idx="0">
                  <c:v>1600</c:v>
                </c:pt>
                <c:pt idx="1">
                  <c:v>2100</c:v>
                </c:pt>
                <c:pt idx="2">
                  <c:v>2550</c:v>
                </c:pt>
                <c:pt idx="3">
                  <c:v>2550</c:v>
                </c:pt>
                <c:pt idx="4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5E-414A-B853-4F6A371149F1}"/>
            </c:ext>
          </c:extLst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'C172XP N758NF'!$D$12:$D$13</c:f>
              <c:numCache>
                <c:formatCode>0.00</c:formatCode>
                <c:ptCount val="2"/>
                <c:pt idx="0">
                  <c:v>39.535177631527347</c:v>
                </c:pt>
                <c:pt idx="1">
                  <c:v>38.915190305009986</c:v>
                </c:pt>
              </c:numCache>
            </c:numRef>
          </c:xVal>
          <c:yVal>
            <c:numRef>
              <c:f>'C172XP N758NF'!$C$12:$C$13</c:f>
              <c:numCache>
                <c:formatCode>0.0</c:formatCode>
                <c:ptCount val="2"/>
                <c:pt idx="0">
                  <c:v>2549.66</c:v>
                </c:pt>
                <c:pt idx="1">
                  <c:v>2375.66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5E-414A-B853-4F6A3711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252975"/>
        <c:axId val="1"/>
      </c:scatterChart>
      <c:valAx>
        <c:axId val="1868252975"/>
        <c:scaling>
          <c:orientation val="minMax"/>
          <c:max val="48"/>
          <c:min val="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(Inches Aft of Datum)</a:t>
                </a:r>
              </a:p>
            </c:rich>
          </c:tx>
          <c:layout>
            <c:manualLayout>
              <c:xMode val="edge"/>
              <c:yMode val="edge"/>
              <c:x val="0.26006707494896469"/>
              <c:y val="0.908774868588580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00"/>
        <c:crossBetween val="midCat"/>
        <c:majorUnit val="1"/>
      </c:valAx>
      <c:valAx>
        <c:axId val="1"/>
        <c:scaling>
          <c:orientation val="minMax"/>
          <c:max val="2700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1.845641843789134E-2"/>
              <c:y val="0.18596547382796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252975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07860291973309"/>
          <c:y val="0.34959420722816148"/>
          <c:w val="0.19346405228758168"/>
          <c:h val="0.355014261428703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129540</xdr:rowOff>
    </xdr:from>
    <xdr:to>
      <xdr:col>5</xdr:col>
      <xdr:colOff>0</xdr:colOff>
      <xdr:row>31</xdr:row>
      <xdr:rowOff>68580</xdr:rowOff>
    </xdr:to>
    <xdr:graphicFrame macro="">
      <xdr:nvGraphicFramePr>
        <xdr:cNvPr id="3121" name="Chart 1">
          <a:extLst>
            <a:ext uri="{FF2B5EF4-FFF2-40B4-BE49-F238E27FC236}">
              <a16:creationId xmlns:a16="http://schemas.microsoft.com/office/drawing/2014/main" id="{DE6BDE3D-D4C4-518E-69EC-A0D0E1106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5</xdr:col>
      <xdr:colOff>0</xdr:colOff>
      <xdr:row>49</xdr:row>
      <xdr:rowOff>0</xdr:rowOff>
    </xdr:to>
    <xdr:graphicFrame macro="">
      <xdr:nvGraphicFramePr>
        <xdr:cNvPr id="3122" name="Chart 2">
          <a:extLst>
            <a:ext uri="{FF2B5EF4-FFF2-40B4-BE49-F238E27FC236}">
              <a16:creationId xmlns:a16="http://schemas.microsoft.com/office/drawing/2014/main" id="{4B471A00-A773-EBC8-15D9-C84F95CE5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B9" sqref="B9"/>
    </sheetView>
  </sheetViews>
  <sheetFormatPr defaultRowHeight="13.2" x14ac:dyDescent="0.25"/>
  <cols>
    <col min="1" max="1" width="42.33203125" customWidth="1"/>
    <col min="2" max="5" width="10.6640625" customWidth="1"/>
  </cols>
  <sheetData>
    <row r="1" spans="1:11" ht="26.4" x14ac:dyDescent="0.25">
      <c r="A1" s="3" t="s">
        <v>18</v>
      </c>
      <c r="B1" s="4"/>
      <c r="C1" s="4" t="s">
        <v>22</v>
      </c>
      <c r="D1" s="4"/>
      <c r="E1" s="5"/>
      <c r="G1" s="43" t="s">
        <v>8</v>
      </c>
      <c r="H1" s="44"/>
      <c r="J1" s="43" t="s">
        <v>9</v>
      </c>
      <c r="K1" s="44"/>
    </row>
    <row r="2" spans="1:11" ht="79.2" x14ac:dyDescent="0.25">
      <c r="A2" s="6" t="s">
        <v>0</v>
      </c>
      <c r="B2" s="1" t="s">
        <v>1</v>
      </c>
      <c r="C2" s="1" t="s">
        <v>2</v>
      </c>
      <c r="D2" s="1" t="s">
        <v>3</v>
      </c>
      <c r="E2" s="7" t="s">
        <v>12</v>
      </c>
      <c r="G2" s="20" t="s">
        <v>6</v>
      </c>
      <c r="H2" s="21" t="s">
        <v>7</v>
      </c>
      <c r="J2" s="20" t="s">
        <v>6</v>
      </c>
      <c r="K2" s="21" t="s">
        <v>10</v>
      </c>
    </row>
    <row r="3" spans="1:11" x14ac:dyDescent="0.25">
      <c r="A3" s="8" t="s">
        <v>23</v>
      </c>
      <c r="B3" s="2"/>
      <c r="C3" s="13">
        <v>1897.66</v>
      </c>
      <c r="D3" s="13">
        <v>38.35</v>
      </c>
      <c r="E3" s="26">
        <f t="shared" ref="E3:E9" si="0">C3*D3/1000</f>
        <v>72.775261</v>
      </c>
      <c r="G3" s="22">
        <f>J3</f>
        <v>1600</v>
      </c>
      <c r="H3" s="27">
        <f>G3*K3/1000</f>
        <v>59.2</v>
      </c>
      <c r="J3" s="22">
        <v>1600</v>
      </c>
      <c r="K3" s="27">
        <v>37</v>
      </c>
    </row>
    <row r="4" spans="1:11" x14ac:dyDescent="0.25">
      <c r="A4" s="8" t="s">
        <v>4</v>
      </c>
      <c r="B4" s="2"/>
      <c r="C4" s="13">
        <v>450</v>
      </c>
      <c r="D4" s="13">
        <v>37</v>
      </c>
      <c r="E4" s="14">
        <f t="shared" si="0"/>
        <v>16.649999999999999</v>
      </c>
      <c r="G4" s="22">
        <f>J4</f>
        <v>2100</v>
      </c>
      <c r="H4" s="27">
        <f>G4*K4/1000</f>
        <v>77.7</v>
      </c>
      <c r="J4" s="22">
        <v>2100</v>
      </c>
      <c r="K4" s="27">
        <v>37</v>
      </c>
    </row>
    <row r="5" spans="1:11" x14ac:dyDescent="0.25">
      <c r="A5" s="8" t="s">
        <v>11</v>
      </c>
      <c r="B5" s="2"/>
      <c r="C5" s="13">
        <v>0</v>
      </c>
      <c r="D5" s="13">
        <v>73</v>
      </c>
      <c r="E5" s="14">
        <f t="shared" si="0"/>
        <v>0</v>
      </c>
      <c r="G5" s="22">
        <f>J5</f>
        <v>2550</v>
      </c>
      <c r="H5" s="27">
        <f>G5*K5/1000</f>
        <v>100.72499999999999</v>
      </c>
      <c r="J5" s="22">
        <v>2550</v>
      </c>
      <c r="K5" s="27">
        <v>39.5</v>
      </c>
    </row>
    <row r="6" spans="1:11" x14ac:dyDescent="0.25">
      <c r="A6" s="8" t="s">
        <v>16</v>
      </c>
      <c r="B6" s="2"/>
      <c r="C6" s="13">
        <v>15</v>
      </c>
      <c r="D6" s="13">
        <v>95</v>
      </c>
      <c r="E6" s="14">
        <f>C6*D6/1000</f>
        <v>1.425</v>
      </c>
      <c r="G6" s="22">
        <f>J6</f>
        <v>2550</v>
      </c>
      <c r="H6" s="27">
        <f>G6*K6/1000</f>
        <v>116.02500000000001</v>
      </c>
      <c r="J6" s="22">
        <v>2550</v>
      </c>
      <c r="K6" s="27">
        <v>45.5</v>
      </c>
    </row>
    <row r="7" spans="1:11" ht="13.8" thickBot="1" x14ac:dyDescent="0.3">
      <c r="A7" s="8" t="s">
        <v>17</v>
      </c>
      <c r="B7" s="2"/>
      <c r="C7" s="13">
        <v>13</v>
      </c>
      <c r="D7" s="13">
        <v>123</v>
      </c>
      <c r="E7" s="14">
        <f t="shared" si="0"/>
        <v>1.599</v>
      </c>
      <c r="G7" s="23">
        <f>J7</f>
        <v>1600</v>
      </c>
      <c r="H7" s="29">
        <f>G7*K7/1000</f>
        <v>72.8</v>
      </c>
      <c r="J7" s="23">
        <v>1600</v>
      </c>
      <c r="K7" s="29">
        <v>45.5</v>
      </c>
    </row>
    <row r="8" spans="1:11" ht="13.8" thickBot="1" x14ac:dyDescent="0.3">
      <c r="A8" s="12" t="s">
        <v>19</v>
      </c>
      <c r="B8" s="19">
        <v>30</v>
      </c>
      <c r="C8" s="17">
        <f>6*B8</f>
        <v>180</v>
      </c>
      <c r="D8" s="17">
        <v>48</v>
      </c>
      <c r="E8" s="18">
        <f>C8*D8/1000</f>
        <v>8.64</v>
      </c>
    </row>
    <row r="9" spans="1:11" x14ac:dyDescent="0.25">
      <c r="A9" s="12" t="s">
        <v>13</v>
      </c>
      <c r="B9" s="19">
        <v>-1</v>
      </c>
      <c r="C9" s="17">
        <f>6*B9</f>
        <v>-6</v>
      </c>
      <c r="D9" s="17">
        <f>D8</f>
        <v>48</v>
      </c>
      <c r="E9" s="18">
        <f t="shared" si="0"/>
        <v>-0.28799999999999998</v>
      </c>
    </row>
    <row r="10" spans="1:11" ht="13.8" thickBot="1" x14ac:dyDescent="0.3">
      <c r="A10" s="9"/>
      <c r="B10" s="33"/>
      <c r="C10" s="38"/>
      <c r="D10" s="38"/>
      <c r="E10" s="34"/>
      <c r="H10" t="s">
        <v>20</v>
      </c>
    </row>
    <row r="11" spans="1:11" ht="13.8" thickBot="1" x14ac:dyDescent="0.3">
      <c r="A11" s="10" t="s">
        <v>14</v>
      </c>
      <c r="B11" s="35"/>
      <c r="C11" s="31">
        <f>SUM(C3:C8)</f>
        <v>2555.66</v>
      </c>
      <c r="D11" s="36"/>
      <c r="E11" s="37"/>
      <c r="H11" s="24">
        <f>J6-C12</f>
        <v>0.34000000000014552</v>
      </c>
    </row>
    <row r="12" spans="1:11" ht="13.8" thickBot="1" x14ac:dyDescent="0.3">
      <c r="A12" s="10" t="s">
        <v>15</v>
      </c>
      <c r="B12" s="30"/>
      <c r="C12" s="31">
        <f>C13+C8+C9</f>
        <v>2549.66</v>
      </c>
      <c r="D12" s="41">
        <f>E12*1000/C12</f>
        <v>39.535177631527347</v>
      </c>
      <c r="E12" s="32">
        <f>SUM(E3:E9)</f>
        <v>100.80126100000001</v>
      </c>
    </row>
    <row r="13" spans="1:11" ht="13.8" thickBot="1" x14ac:dyDescent="0.3">
      <c r="A13" s="10" t="s">
        <v>5</v>
      </c>
      <c r="B13" s="11"/>
      <c r="C13" s="15">
        <f>SUM(C3:C7)</f>
        <v>2375.66</v>
      </c>
      <c r="D13" s="42">
        <f>1000*E13/C13</f>
        <v>38.915190305009986</v>
      </c>
      <c r="E13" s="16">
        <f>SUM(E3:E7)</f>
        <v>92.449261000000007</v>
      </c>
    </row>
    <row r="14" spans="1:11" x14ac:dyDescent="0.25">
      <c r="A14" t="s">
        <v>21</v>
      </c>
      <c r="D14" s="41">
        <f>K4+(K5-K4)*((C12-J4)/(J5-J4))</f>
        <v>39.498111111111108</v>
      </c>
      <c r="E14" s="40" t="str">
        <f>IF(D12&lt;D14,"NOT OK","")</f>
        <v/>
      </c>
      <c r="F14" s="39" t="str">
        <f>IF(D12&lt;=D14,"","OK")</f>
        <v>OK</v>
      </c>
    </row>
    <row r="25" spans="8:8" x14ac:dyDescent="0.25">
      <c r="H25" s="28"/>
    </row>
    <row r="26" spans="8:8" x14ac:dyDescent="0.25">
      <c r="H26" s="25"/>
    </row>
  </sheetData>
  <mergeCells count="2">
    <mergeCell ref="G1:H1"/>
    <mergeCell ref="J1:K1"/>
  </mergeCells>
  <phoneticPr fontId="2" type="noConversion"/>
  <pageMargins left="0.75" right="0.75" top="1" bottom="1" header="0.5" footer="0.5"/>
  <pageSetup scale="6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C172XP N758NF</vt:lpstr>
      <vt:lpstr>'C172XP N758NF'!Print_Area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creator>Mike Dubbury</dc:creator>
  <cp:lastModifiedBy>Howard Wolvington</cp:lastModifiedBy>
  <cp:lastPrinted>2007-04-30T15:19:23Z</cp:lastPrinted>
  <dcterms:created xsi:type="dcterms:W3CDTF">1998-12-17T17:30:16Z</dcterms:created>
  <dcterms:modified xsi:type="dcterms:W3CDTF">2024-03-18T15:19:25Z</dcterms:modified>
</cp:coreProperties>
</file>